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Brainoid\paper\Brainoid - Data upload\Data upload\Figure 4\Partials\c d e f j\"/>
    </mc:Choice>
  </mc:AlternateContent>
  <bookViews>
    <workbookView xWindow="0" yWindow="0" windowWidth="25395" windowHeight="10920" activeTab="4"/>
  </bookViews>
  <sheets>
    <sheet name="TH" sheetId="1" r:id="rId1"/>
    <sheet name="Sheet2" sheetId="5" r:id="rId2"/>
    <sheet name="pyk" sheetId="2" r:id="rId3"/>
    <sheet name="girk" sheetId="4" r:id="rId4"/>
    <sheet name="foxa2" sheetId="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" l="1"/>
  <c r="Q65" i="1"/>
  <c r="AG8" i="4" l="1"/>
  <c r="AI7" i="4"/>
  <c r="D7" i="4"/>
  <c r="N7" i="4" s="1"/>
  <c r="I7" i="4"/>
  <c r="AH7" i="4"/>
  <c r="B8" i="4"/>
  <c r="L8" i="4" s="1"/>
  <c r="G8" i="4"/>
  <c r="C24" i="3" l="1"/>
  <c r="C7" i="4"/>
  <c r="H7" i="4"/>
  <c r="B24" i="3"/>
  <c r="Q5" i="3"/>
  <c r="F4" i="1"/>
  <c r="B11" i="5"/>
  <c r="H30" i="5" s="1"/>
  <c r="C4" i="5"/>
  <c r="I23" i="5" s="1"/>
  <c r="H24" i="5"/>
  <c r="H25" i="5"/>
  <c r="I29" i="5"/>
  <c r="I30" i="5"/>
  <c r="I31" i="5"/>
  <c r="I35" i="5"/>
  <c r="I36" i="5"/>
  <c r="H37" i="5"/>
  <c r="I37" i="5"/>
  <c r="C24" i="5"/>
  <c r="C25" i="5"/>
  <c r="C36" i="5"/>
  <c r="C37" i="5"/>
  <c r="D25" i="5"/>
  <c r="D29" i="5"/>
  <c r="D30" i="5"/>
  <c r="D31" i="5"/>
  <c r="D35" i="5"/>
  <c r="D36" i="5"/>
  <c r="D37" i="5"/>
  <c r="D23" i="5"/>
  <c r="B12" i="5"/>
  <c r="C31" i="5" s="1"/>
  <c r="B17" i="5"/>
  <c r="H36" i="5" s="1"/>
  <c r="B18" i="5"/>
  <c r="C6" i="5"/>
  <c r="I25" i="5" s="1"/>
  <c r="M7" i="4" l="1"/>
  <c r="H31" i="5"/>
  <c r="C30" i="5"/>
  <c r="C5" i="5"/>
  <c r="D24" i="5" l="1"/>
  <c r="I24" i="5"/>
  <c r="Q25" i="1"/>
  <c r="R25" i="1"/>
  <c r="B4" i="5"/>
  <c r="B16" i="5"/>
  <c r="C23" i="5" l="1"/>
  <c r="H23" i="5"/>
  <c r="H35" i="5"/>
  <c r="C35" i="5"/>
  <c r="B10" i="5"/>
  <c r="C29" i="5" l="1"/>
  <c r="H29" i="5"/>
  <c r="J41" i="2"/>
  <c r="J40" i="2"/>
  <c r="J39" i="2"/>
  <c r="J35" i="2"/>
  <c r="J34" i="2"/>
  <c r="J33" i="2"/>
  <c r="L28" i="2"/>
  <c r="L29" i="2"/>
  <c r="L27" i="2"/>
  <c r="E4" i="1"/>
  <c r="E46" i="1" l="1"/>
  <c r="Q79" i="1"/>
  <c r="Q78" i="1"/>
  <c r="Q77" i="1"/>
  <c r="Q73" i="1"/>
  <c r="Q72" i="1"/>
  <c r="Q71" i="1"/>
  <c r="R67" i="1"/>
  <c r="R66" i="1"/>
  <c r="R65" i="1"/>
  <c r="S79" i="1"/>
  <c r="R79" i="1"/>
  <c r="S78" i="1"/>
  <c r="R78" i="1"/>
  <c r="S77" i="1"/>
  <c r="R77" i="1"/>
  <c r="S73" i="1"/>
  <c r="R73" i="1"/>
  <c r="S72" i="1"/>
  <c r="R72" i="1"/>
  <c r="S71" i="1"/>
  <c r="R71" i="1"/>
  <c r="Q66" i="1"/>
  <c r="S66" i="1"/>
  <c r="Q67" i="1"/>
  <c r="S67" i="1"/>
  <c r="S65" i="1"/>
  <c r="W65" i="1" l="1"/>
  <c r="Q39" i="1"/>
  <c r="V79" i="1" s="1"/>
  <c r="Q38" i="1"/>
  <c r="V78" i="1" s="1"/>
  <c r="Q31" i="1"/>
  <c r="V71" i="1" s="1"/>
  <c r="V65" i="1"/>
  <c r="M60" i="1"/>
  <c r="L60" i="1"/>
  <c r="M59" i="1"/>
  <c r="L59" i="1"/>
  <c r="M58" i="1"/>
  <c r="L58" i="1"/>
  <c r="M54" i="1"/>
  <c r="L54" i="1"/>
  <c r="M53" i="1"/>
  <c r="L53" i="1"/>
  <c r="M52" i="1"/>
  <c r="L52" i="1"/>
  <c r="M48" i="1"/>
  <c r="K48" i="1"/>
  <c r="M47" i="1"/>
  <c r="K47" i="1"/>
  <c r="M46" i="1"/>
  <c r="Y37" i="1"/>
  <c r="X37" i="1"/>
  <c r="G60" i="1"/>
  <c r="F60" i="1"/>
  <c r="G59" i="1"/>
  <c r="F59" i="1"/>
  <c r="G58" i="1"/>
  <c r="F58" i="1"/>
  <c r="G54" i="1"/>
  <c r="AD53" i="1" s="1"/>
  <c r="F54" i="1"/>
  <c r="G53" i="1"/>
  <c r="F53" i="1"/>
  <c r="G52" i="1"/>
  <c r="F52" i="1"/>
  <c r="E47" i="1"/>
  <c r="G47" i="1"/>
  <c r="E48" i="1"/>
  <c r="W27" i="1" s="1"/>
  <c r="G48" i="1"/>
  <c r="F46" i="1"/>
  <c r="G46" i="1"/>
  <c r="S39" i="1"/>
  <c r="X79" i="1" s="1"/>
  <c r="R39" i="1"/>
  <c r="W79" i="1" s="1"/>
  <c r="S38" i="1"/>
  <c r="X78" i="1" s="1"/>
  <c r="R38" i="1"/>
  <c r="W78" i="1" s="1"/>
  <c r="S37" i="1"/>
  <c r="X77" i="1" s="1"/>
  <c r="R37" i="1"/>
  <c r="W77" i="1" s="1"/>
  <c r="Q37" i="1"/>
  <c r="V77" i="1" s="1"/>
  <c r="S33" i="1"/>
  <c r="X73" i="1" s="1"/>
  <c r="R33" i="1"/>
  <c r="W73" i="1" s="1"/>
  <c r="Q33" i="1"/>
  <c r="V73" i="1" s="1"/>
  <c r="S32" i="1"/>
  <c r="X72" i="1" s="1"/>
  <c r="R32" i="1"/>
  <c r="W72" i="1" s="1"/>
  <c r="Q32" i="1"/>
  <c r="V72" i="1" s="1"/>
  <c r="S31" i="1"/>
  <c r="X71" i="1" s="1"/>
  <c r="R31" i="1"/>
  <c r="W71" i="1" s="1"/>
  <c r="Q26" i="1"/>
  <c r="V66" i="1" s="1"/>
  <c r="R26" i="1"/>
  <c r="W66" i="1" s="1"/>
  <c r="S26" i="1"/>
  <c r="X66" i="1" s="1"/>
  <c r="Q27" i="1"/>
  <c r="R27" i="1"/>
  <c r="W67" i="1" s="1"/>
  <c r="S27" i="1"/>
  <c r="X67" i="1" s="1"/>
  <c r="S25" i="1"/>
  <c r="X65" i="1" s="1"/>
  <c r="L4" i="1"/>
  <c r="L46" i="1" s="1"/>
  <c r="L6" i="1"/>
  <c r="L48" i="1" s="1"/>
  <c r="F6" i="1"/>
  <c r="F48" i="1" s="1"/>
  <c r="X32" i="1" l="1"/>
  <c r="X39" i="1"/>
  <c r="Y32" i="1"/>
  <c r="AD59" i="1"/>
  <c r="AC53" i="1"/>
  <c r="X25" i="1"/>
  <c r="AC47" i="1"/>
  <c r="X31" i="1"/>
  <c r="AC52" i="1"/>
  <c r="Y26" i="1"/>
  <c r="AC57" i="1"/>
  <c r="AD52" i="1"/>
  <c r="AC51" i="1"/>
  <c r="AD45" i="1"/>
  <c r="AD51" i="1"/>
  <c r="AD58" i="1"/>
  <c r="X33" i="1"/>
  <c r="AB25" i="1"/>
  <c r="Y27" i="1"/>
  <c r="Y39" i="1"/>
  <c r="Y31" i="1"/>
  <c r="AD57" i="1"/>
  <c r="AB47" i="1"/>
  <c r="AC59" i="1"/>
  <c r="L25" i="1"/>
  <c r="AB46" i="1"/>
  <c r="Y25" i="1"/>
  <c r="Y33" i="1"/>
  <c r="AB26" i="1"/>
  <c r="AD47" i="1"/>
  <c r="AC45" i="1"/>
  <c r="W26" i="1"/>
  <c r="AD46" i="1"/>
  <c r="X38" i="1"/>
  <c r="AC58" i="1"/>
  <c r="AB45" i="1"/>
  <c r="AB27" i="1"/>
  <c r="V67" i="1"/>
  <c r="Y38" i="1"/>
  <c r="W25" i="1"/>
  <c r="X27" i="1"/>
  <c r="L27" i="1"/>
  <c r="L5" i="1"/>
  <c r="F5" i="1"/>
  <c r="F47" i="1" s="1"/>
  <c r="K4" i="1"/>
  <c r="K10" i="1"/>
  <c r="K52" i="1" s="1"/>
  <c r="K12" i="1"/>
  <c r="K54" i="1" s="1"/>
  <c r="E12" i="1"/>
  <c r="E54" i="1" s="1"/>
  <c r="K11" i="1"/>
  <c r="K53" i="1" s="1"/>
  <c r="K17" i="1"/>
  <c r="K59" i="1" s="1"/>
  <c r="E11" i="1"/>
  <c r="T18" i="2"/>
  <c r="I39" i="1"/>
  <c r="E17" i="1"/>
  <c r="E59" i="1" s="1"/>
  <c r="K18" i="1"/>
  <c r="K60" i="1" s="1"/>
  <c r="I18" i="1"/>
  <c r="E18" i="1"/>
  <c r="E60" i="1" s="1"/>
  <c r="AC7" i="2"/>
  <c r="AC6" i="2"/>
  <c r="AC5" i="2"/>
  <c r="AC13" i="2"/>
  <c r="AC12" i="2"/>
  <c r="AC11" i="2"/>
  <c r="AC18" i="2"/>
  <c r="AC19" i="2"/>
  <c r="AC17" i="2"/>
  <c r="K46" i="1" l="1"/>
  <c r="K25" i="1"/>
  <c r="AB53" i="1"/>
  <c r="W33" i="1"/>
  <c r="K39" i="1"/>
  <c r="AB58" i="1"/>
  <c r="W38" i="1"/>
  <c r="K32" i="1"/>
  <c r="E53" i="1"/>
  <c r="AC46" i="1"/>
  <c r="X26" i="1"/>
  <c r="AB59" i="1"/>
  <c r="W39" i="1"/>
  <c r="L26" i="1"/>
  <c r="L47" i="1"/>
  <c r="K33" i="1"/>
  <c r="T17" i="2"/>
  <c r="Y17" i="2" s="1"/>
  <c r="V19" i="2"/>
  <c r="AA19" i="2" s="1"/>
  <c r="U19" i="2"/>
  <c r="Z19" i="2" s="1"/>
  <c r="T19" i="2"/>
  <c r="Y19" i="2" s="1"/>
  <c r="V18" i="2"/>
  <c r="AA18" i="2" s="1"/>
  <c r="U18" i="2"/>
  <c r="Z18" i="2" s="1"/>
  <c r="Y18" i="2"/>
  <c r="V17" i="2"/>
  <c r="AA17" i="2" s="1"/>
  <c r="U17" i="2"/>
  <c r="Z17" i="2" s="1"/>
  <c r="I16" i="1"/>
  <c r="K16" i="1"/>
  <c r="K58" i="1" s="1"/>
  <c r="E16" i="1"/>
  <c r="E58" i="1" s="1"/>
  <c r="AB57" i="1" l="1"/>
  <c r="W37" i="1"/>
  <c r="AB52" i="1"/>
  <c r="W32" i="1"/>
  <c r="I37" i="1"/>
  <c r="AA12" i="2" l="1"/>
  <c r="Z12" i="2"/>
  <c r="V13" i="2"/>
  <c r="AA13" i="2" s="1"/>
  <c r="U13" i="2"/>
  <c r="Z13" i="2" s="1"/>
  <c r="T13" i="2"/>
  <c r="Y13" i="2" s="1"/>
  <c r="V12" i="2"/>
  <c r="U12" i="2"/>
  <c r="T12" i="2"/>
  <c r="Y12" i="2" s="1"/>
  <c r="V11" i="2"/>
  <c r="AA11" i="2" s="1"/>
  <c r="U11" i="2"/>
  <c r="Z11" i="2" s="1"/>
  <c r="T11" i="2"/>
  <c r="Y11" i="2" s="1"/>
  <c r="N25" i="1"/>
  <c r="N26" i="1"/>
  <c r="L32" i="1"/>
  <c r="M32" i="1"/>
  <c r="L33" i="1"/>
  <c r="M33" i="1"/>
  <c r="L31" i="1"/>
  <c r="M31" i="1"/>
  <c r="E10" i="1"/>
  <c r="E52" i="1" s="1"/>
  <c r="M39" i="1"/>
  <c r="L39" i="1"/>
  <c r="M38" i="1"/>
  <c r="L38" i="1"/>
  <c r="K38" i="1"/>
  <c r="M37" i="1"/>
  <c r="L37" i="1"/>
  <c r="K37" i="1"/>
  <c r="K26" i="1"/>
  <c r="M26" i="1"/>
  <c r="K27" i="1"/>
  <c r="M27" i="1"/>
  <c r="M25" i="1"/>
  <c r="R6" i="3"/>
  <c r="S19" i="3"/>
  <c r="R19" i="3"/>
  <c r="Q19" i="3"/>
  <c r="S18" i="3"/>
  <c r="R18" i="3"/>
  <c r="Q18" i="3"/>
  <c r="S17" i="3"/>
  <c r="R17" i="3"/>
  <c r="Q17" i="3"/>
  <c r="S13" i="3"/>
  <c r="R13" i="3"/>
  <c r="Q13" i="3"/>
  <c r="S12" i="3"/>
  <c r="R12" i="3"/>
  <c r="Q12" i="3"/>
  <c r="S11" i="3"/>
  <c r="R11" i="3"/>
  <c r="Q11" i="3"/>
  <c r="Q6" i="3"/>
  <c r="S6" i="3"/>
  <c r="Q7" i="3"/>
  <c r="R7" i="3"/>
  <c r="S7" i="3"/>
  <c r="R5" i="3"/>
  <c r="S5" i="3"/>
  <c r="Z7" i="2"/>
  <c r="U6" i="2"/>
  <c r="Z6" i="2" s="1"/>
  <c r="U7" i="2"/>
  <c r="Y7" i="2"/>
  <c r="T5" i="2"/>
  <c r="Y5" i="2" s="1"/>
  <c r="U5" i="2"/>
  <c r="Z5" i="2" s="1"/>
  <c r="V5" i="2"/>
  <c r="AA5" i="2" s="1"/>
  <c r="T6" i="2"/>
  <c r="Y6" i="2" s="1"/>
  <c r="V6" i="2"/>
  <c r="AA6" i="2" s="1"/>
  <c r="T7" i="2"/>
  <c r="V7" i="2"/>
  <c r="AA7" i="2" s="1"/>
  <c r="AB51" i="1" l="1"/>
  <c r="W31" i="1"/>
  <c r="K31" i="1"/>
</calcChain>
</file>

<file path=xl/sharedStrings.xml><?xml version="1.0" encoding="utf-8"?>
<sst xmlns="http://schemas.openxmlformats.org/spreadsheetml/2006/main" count="789" uniqueCount="53">
  <si>
    <t>volume TUJ1</t>
  </si>
  <si>
    <t>k7</t>
  </si>
  <si>
    <t>T12</t>
  </si>
  <si>
    <t>Cor</t>
  </si>
  <si>
    <t>n1</t>
  </si>
  <si>
    <t>n2</t>
  </si>
  <si>
    <t>n3</t>
  </si>
  <si>
    <t>b</t>
  </si>
  <si>
    <t>a</t>
  </si>
  <si>
    <t>C</t>
  </si>
  <si>
    <t>diameter</t>
  </si>
  <si>
    <t>hight of stack</t>
  </si>
  <si>
    <t>ONLY</t>
  </si>
  <si>
    <t>others overexposed</t>
  </si>
  <si>
    <t>based on size</t>
  </si>
  <si>
    <t>hoechst all 7</t>
  </si>
  <si>
    <t>hoechst intensiti filter 7</t>
  </si>
  <si>
    <t>sum</t>
  </si>
  <si>
    <t>number of cells</t>
  </si>
  <si>
    <t>hoechst all 10</t>
  </si>
  <si>
    <t>hoechst all 7-10</t>
  </si>
  <si>
    <t>volume th</t>
  </si>
  <si>
    <t>foxa2 10</t>
  </si>
  <si>
    <t xml:space="preserve">overexposed </t>
  </si>
  <si>
    <t>manual intesity channel heochst filter / only coloc</t>
  </si>
  <si>
    <t>volume TH/ TUJ1</t>
  </si>
  <si>
    <t>Volume disc</t>
  </si>
  <si>
    <t>foxa2 quant</t>
  </si>
  <si>
    <t>th density</t>
  </si>
  <si>
    <t>diameter core</t>
  </si>
  <si>
    <t>hight core</t>
  </si>
  <si>
    <t>th densit</t>
  </si>
  <si>
    <t>volume core</t>
  </si>
  <si>
    <t>TH/ volume org- volume core*100</t>
  </si>
  <si>
    <t>auto</t>
  </si>
  <si>
    <t>um</t>
  </si>
  <si>
    <t>mm</t>
  </si>
  <si>
    <t>,mm</t>
  </si>
  <si>
    <t>%</t>
  </si>
  <si>
    <t>um3</t>
  </si>
  <si>
    <t>vol tuj1 mm3</t>
  </si>
  <si>
    <t>Hoechs surface</t>
  </si>
  <si>
    <t>hoechst intesity/all</t>
  </si>
  <si>
    <t>GIRK/TH</t>
  </si>
  <si>
    <t>vol hoechst</t>
  </si>
  <si>
    <t>TUJ1/Hoechst</t>
  </si>
  <si>
    <t>TH/Hoechst</t>
  </si>
  <si>
    <t>GIRK2</t>
  </si>
  <si>
    <t>TH</t>
  </si>
  <si>
    <t>take treshhold th</t>
  </si>
  <si>
    <t>calbindin 10</t>
  </si>
  <si>
    <t>hoechst 10</t>
  </si>
  <si>
    <t>calbidin double hoechst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</si>
</sst>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workbookViewId="0">
      <selection activeCell="Q66" sqref="Q66"/>
    </sheetView>
  </sheetViews>
  <sheetFormatPr defaultRowHeight="15" x14ac:dyDescent="0.25"/>
  <cols>
    <col min="4" max="4" width="12.5703125" customWidth="1"/>
    <col min="5" max="5" width="12" bestFit="1" customWidth="1"/>
    <col min="17" max="18" width="12" bestFit="1" customWidth="1"/>
    <col min="23" max="23" width="11" bestFit="1" customWidth="1"/>
    <col min="28" max="28" width="12" bestFit="1" customWidth="1"/>
  </cols>
  <sheetData>
    <row r="1" spans="1:30" x14ac:dyDescent="0.25">
      <c r="D1" t="s">
        <v>21</v>
      </c>
      <c r="E1" t="s">
        <v>39</v>
      </c>
      <c r="K1" t="s">
        <v>39</v>
      </c>
      <c r="L1" t="s">
        <v>0</v>
      </c>
      <c r="P1" t="s">
        <v>10</v>
      </c>
      <c r="Q1" t="s">
        <v>35</v>
      </c>
      <c r="V1" t="s">
        <v>11</v>
      </c>
      <c r="AA1" t="s">
        <v>18</v>
      </c>
    </row>
    <row r="2" spans="1:30" x14ac:dyDescent="0.25">
      <c r="D2" t="s">
        <v>17</v>
      </c>
      <c r="AA2" t="s">
        <v>19</v>
      </c>
    </row>
    <row r="3" spans="1:30" x14ac:dyDescent="0.25">
      <c r="A3" t="s">
        <v>6</v>
      </c>
      <c r="B3" t="s">
        <v>5</v>
      </c>
      <c r="C3" t="s">
        <v>4</v>
      </c>
      <c r="D3" t="s">
        <v>7</v>
      </c>
      <c r="E3" t="s">
        <v>4</v>
      </c>
      <c r="F3" t="s">
        <v>5</v>
      </c>
      <c r="G3" t="s">
        <v>6</v>
      </c>
      <c r="J3" t="s">
        <v>7</v>
      </c>
      <c r="K3" t="s">
        <v>4</v>
      </c>
      <c r="L3" t="s">
        <v>5</v>
      </c>
      <c r="M3" t="s">
        <v>6</v>
      </c>
      <c r="P3" t="s">
        <v>7</v>
      </c>
      <c r="Q3" t="s">
        <v>4</v>
      </c>
      <c r="R3" t="s">
        <v>5</v>
      </c>
      <c r="S3" t="s">
        <v>6</v>
      </c>
      <c r="V3" t="s">
        <v>7</v>
      </c>
      <c r="W3" t="s">
        <v>4</v>
      </c>
      <c r="X3" t="s">
        <v>5</v>
      </c>
      <c r="Y3" t="s">
        <v>6</v>
      </c>
      <c r="AA3" t="s">
        <v>7</v>
      </c>
      <c r="AB3" t="s">
        <v>4</v>
      </c>
      <c r="AC3" t="s">
        <v>5</v>
      </c>
      <c r="AD3" t="s">
        <v>6</v>
      </c>
    </row>
    <row r="4" spans="1:30" x14ac:dyDescent="0.25">
      <c r="B4">
        <v>9.99</v>
      </c>
      <c r="C4">
        <v>8.64</v>
      </c>
      <c r="D4" t="s">
        <v>1</v>
      </c>
      <c r="E4">
        <f>2.85*10^7</f>
        <v>28500000</v>
      </c>
      <c r="F4">
        <f>5.48*10^7</f>
        <v>54800000.000000007</v>
      </c>
      <c r="J4" t="s">
        <v>1</v>
      </c>
      <c r="K4">
        <f>4.01*10^7</f>
        <v>40100000</v>
      </c>
      <c r="L4">
        <f>3*10^7</f>
        <v>30000000</v>
      </c>
      <c r="P4" t="s">
        <v>1</v>
      </c>
      <c r="Q4">
        <v>2000</v>
      </c>
      <c r="R4">
        <v>2232</v>
      </c>
      <c r="V4" t="s">
        <v>1</v>
      </c>
      <c r="W4">
        <v>280</v>
      </c>
      <c r="X4">
        <v>260</v>
      </c>
      <c r="AA4" t="s">
        <v>1</v>
      </c>
      <c r="AB4">
        <v>5540</v>
      </c>
    </row>
    <row r="5" spans="1:30" x14ac:dyDescent="0.25">
      <c r="B5">
        <v>3.32</v>
      </c>
      <c r="D5" t="s">
        <v>2</v>
      </c>
      <c r="F5">
        <f>6.27*10^7</f>
        <v>62699999.999999993</v>
      </c>
      <c r="J5" t="s">
        <v>2</v>
      </c>
      <c r="L5">
        <f>5.62*10^7</f>
        <v>56200000</v>
      </c>
      <c r="P5" t="s">
        <v>2</v>
      </c>
      <c r="R5">
        <v>2579</v>
      </c>
      <c r="V5" t="s">
        <v>2</v>
      </c>
      <c r="X5">
        <v>230</v>
      </c>
      <c r="AA5" t="s">
        <v>2</v>
      </c>
      <c r="AC5">
        <v>8961</v>
      </c>
    </row>
    <row r="6" spans="1:30" x14ac:dyDescent="0.25">
      <c r="B6">
        <v>5</v>
      </c>
      <c r="D6" t="s">
        <v>3</v>
      </c>
      <c r="F6">
        <f>2.98*10^7</f>
        <v>29800000</v>
      </c>
      <c r="J6" t="s">
        <v>3</v>
      </c>
      <c r="L6">
        <f>3.89*10^7</f>
        <v>38900000</v>
      </c>
      <c r="P6" t="s">
        <v>3</v>
      </c>
      <c r="R6">
        <v>2437</v>
      </c>
      <c r="V6" t="s">
        <v>3</v>
      </c>
      <c r="X6">
        <v>300</v>
      </c>
      <c r="AA6" t="s">
        <v>3</v>
      </c>
      <c r="AC6">
        <v>6689</v>
      </c>
    </row>
    <row r="9" spans="1:30" x14ac:dyDescent="0.25">
      <c r="D9" t="s">
        <v>8</v>
      </c>
      <c r="E9" t="s">
        <v>4</v>
      </c>
      <c r="F9" t="s">
        <v>5</v>
      </c>
      <c r="G9" t="s">
        <v>6</v>
      </c>
      <c r="J9" t="s">
        <v>8</v>
      </c>
      <c r="K9" t="s">
        <v>4</v>
      </c>
      <c r="L9" t="s">
        <v>5</v>
      </c>
      <c r="M9" t="s">
        <v>6</v>
      </c>
      <c r="P9" t="s">
        <v>8</v>
      </c>
      <c r="Q9" t="s">
        <v>4</v>
      </c>
      <c r="R9" t="s">
        <v>5</v>
      </c>
      <c r="S9" t="s">
        <v>6</v>
      </c>
      <c r="V9" t="s">
        <v>8</v>
      </c>
      <c r="W9" t="s">
        <v>4</v>
      </c>
      <c r="X9" t="s">
        <v>5</v>
      </c>
      <c r="Y9" t="s">
        <v>6</v>
      </c>
      <c r="AA9" t="s">
        <v>8</v>
      </c>
      <c r="AB9" t="s">
        <v>4</v>
      </c>
      <c r="AC9" t="s">
        <v>5</v>
      </c>
      <c r="AD9" t="s">
        <v>6</v>
      </c>
    </row>
    <row r="10" spans="1:30" x14ac:dyDescent="0.25">
      <c r="C10">
        <v>3</v>
      </c>
      <c r="D10" t="s">
        <v>1</v>
      </c>
      <c r="E10">
        <f>4.86*10^7</f>
        <v>48600000</v>
      </c>
      <c r="J10" t="s">
        <v>1</v>
      </c>
      <c r="K10">
        <f>5.67*10^7</f>
        <v>56700000</v>
      </c>
      <c r="P10" t="s">
        <v>1</v>
      </c>
      <c r="Q10">
        <v>3103</v>
      </c>
      <c r="V10" t="s">
        <v>1</v>
      </c>
      <c r="W10">
        <v>180</v>
      </c>
      <c r="AA10" t="s">
        <v>1</v>
      </c>
    </row>
    <row r="11" spans="1:30" x14ac:dyDescent="0.25">
      <c r="C11">
        <v>2.21</v>
      </c>
      <c r="D11" t="s">
        <v>2</v>
      </c>
      <c r="E11">
        <f>5.07*10^7</f>
        <v>50700000</v>
      </c>
      <c r="J11" t="s">
        <v>2</v>
      </c>
      <c r="K11">
        <f>4.7*10^7</f>
        <v>47000000</v>
      </c>
      <c r="P11" t="s">
        <v>2</v>
      </c>
      <c r="Q11">
        <v>2914</v>
      </c>
      <c r="V11" t="s">
        <v>2</v>
      </c>
      <c r="W11">
        <v>160</v>
      </c>
      <c r="AA11" t="s">
        <v>2</v>
      </c>
    </row>
    <row r="12" spans="1:30" x14ac:dyDescent="0.25">
      <c r="C12">
        <v>5.2</v>
      </c>
      <c r="D12" t="s">
        <v>3</v>
      </c>
      <c r="E12">
        <f>4.11*10^7</f>
        <v>41100000</v>
      </c>
      <c r="J12" t="s">
        <v>3</v>
      </c>
      <c r="K12">
        <f>4.53*10^7</f>
        <v>45300000</v>
      </c>
      <c r="P12" t="s">
        <v>3</v>
      </c>
      <c r="Q12">
        <v>2984</v>
      </c>
      <c r="V12" t="s">
        <v>3</v>
      </c>
      <c r="W12">
        <v>260</v>
      </c>
      <c r="AA12" t="s">
        <v>3</v>
      </c>
    </row>
    <row r="15" spans="1:30" x14ac:dyDescent="0.25">
      <c r="C15" t="s">
        <v>34</v>
      </c>
      <c r="D15" t="s">
        <v>9</v>
      </c>
      <c r="E15" t="s">
        <v>4</v>
      </c>
      <c r="F15" t="s">
        <v>5</v>
      </c>
      <c r="G15" t="s">
        <v>6</v>
      </c>
      <c r="I15" t="s">
        <v>34</v>
      </c>
      <c r="J15" t="s">
        <v>9</v>
      </c>
      <c r="K15" t="s">
        <v>4</v>
      </c>
      <c r="L15" t="s">
        <v>5</v>
      </c>
      <c r="M15" t="s">
        <v>6</v>
      </c>
      <c r="P15" t="s">
        <v>9</v>
      </c>
      <c r="Q15" t="s">
        <v>4</v>
      </c>
      <c r="R15" t="s">
        <v>5</v>
      </c>
      <c r="S15" t="s">
        <v>6</v>
      </c>
      <c r="V15" t="s">
        <v>9</v>
      </c>
      <c r="W15" t="s">
        <v>4</v>
      </c>
      <c r="X15" t="s">
        <v>5</v>
      </c>
      <c r="Y15" t="s">
        <v>6</v>
      </c>
      <c r="AA15" t="s">
        <v>9</v>
      </c>
      <c r="AB15" t="s">
        <v>4</v>
      </c>
      <c r="AC15" t="s">
        <v>5</v>
      </c>
      <c r="AD15" t="s">
        <v>6</v>
      </c>
    </row>
    <row r="16" spans="1:30" x14ac:dyDescent="0.25">
      <c r="C16">
        <v>3.15</v>
      </c>
      <c r="D16" t="s">
        <v>1</v>
      </c>
      <c r="E16">
        <f>3.36*10^7</f>
        <v>33600000</v>
      </c>
      <c r="I16">
        <f>2.27*10^7</f>
        <v>22700000</v>
      </c>
      <c r="J16" t="s">
        <v>1</v>
      </c>
      <c r="K16">
        <f>6.6*10^7</f>
        <v>66000000</v>
      </c>
      <c r="P16" t="s">
        <v>1</v>
      </c>
      <c r="Q16">
        <v>1978</v>
      </c>
      <c r="V16" t="s">
        <v>1</v>
      </c>
      <c r="W16">
        <v>240</v>
      </c>
      <c r="AA16" t="s">
        <v>1</v>
      </c>
    </row>
    <row r="17" spans="3:28" x14ac:dyDescent="0.25">
      <c r="C17">
        <v>2.7</v>
      </c>
      <c r="D17" t="s">
        <v>2</v>
      </c>
      <c r="E17">
        <f>4.83*10^7</f>
        <v>48300000</v>
      </c>
      <c r="J17" t="s">
        <v>2</v>
      </c>
      <c r="K17">
        <f>9.23*10^7</f>
        <v>92300000</v>
      </c>
      <c r="P17" t="s">
        <v>2</v>
      </c>
      <c r="Q17">
        <v>2823</v>
      </c>
      <c r="V17" t="s">
        <v>2</v>
      </c>
      <c r="W17">
        <v>290</v>
      </c>
      <c r="AA17" t="s">
        <v>2</v>
      </c>
    </row>
    <row r="18" spans="3:28" x14ac:dyDescent="0.25">
      <c r="C18">
        <v>3.93</v>
      </c>
      <c r="D18" t="s">
        <v>3</v>
      </c>
      <c r="E18">
        <f>3.93*10^7</f>
        <v>39300000</v>
      </c>
      <c r="I18">
        <f>4.51*10^7</f>
        <v>45100000</v>
      </c>
      <c r="J18" t="s">
        <v>3</v>
      </c>
      <c r="K18">
        <f>6.25*10^7</f>
        <v>62500000</v>
      </c>
      <c r="P18" t="s">
        <v>3</v>
      </c>
      <c r="Q18">
        <v>3262</v>
      </c>
      <c r="V18" t="s">
        <v>3</v>
      </c>
      <c r="W18">
        <v>260</v>
      </c>
      <c r="AA18" t="s">
        <v>3</v>
      </c>
    </row>
    <row r="22" spans="3:28" x14ac:dyDescent="0.25">
      <c r="K22" t="s">
        <v>38</v>
      </c>
      <c r="L22" t="s">
        <v>25</v>
      </c>
      <c r="P22" t="s">
        <v>26</v>
      </c>
      <c r="R22" t="s">
        <v>36</v>
      </c>
      <c r="V22" t="s">
        <v>31</v>
      </c>
      <c r="W22" t="s">
        <v>36</v>
      </c>
    </row>
    <row r="24" spans="3:28" x14ac:dyDescent="0.25">
      <c r="J24" t="s">
        <v>7</v>
      </c>
      <c r="K24" t="s">
        <v>4</v>
      </c>
      <c r="L24" t="s">
        <v>5</v>
      </c>
      <c r="M24" t="s">
        <v>6</v>
      </c>
      <c r="P24" t="s">
        <v>7</v>
      </c>
      <c r="Q24" t="s">
        <v>4</v>
      </c>
      <c r="R24" t="s">
        <v>5</v>
      </c>
      <c r="S24" t="s">
        <v>6</v>
      </c>
      <c r="V24" t="s">
        <v>7</v>
      </c>
      <c r="W24" t="s">
        <v>4</v>
      </c>
      <c r="X24" t="s">
        <v>5</v>
      </c>
      <c r="Y24" t="s">
        <v>6</v>
      </c>
    </row>
    <row r="25" spans="3:28" x14ac:dyDescent="0.25">
      <c r="J25" t="s">
        <v>1</v>
      </c>
      <c r="K25">
        <f>E4/K4*100</f>
        <v>71.072319201995015</v>
      </c>
      <c r="L25">
        <f>F4/L4*100</f>
        <v>182.66666666666669</v>
      </c>
      <c r="M25" t="e">
        <f t="shared" ref="M25" si="0">G4/M4*100</f>
        <v>#DIV/0!</v>
      </c>
      <c r="N25" t="e">
        <f>H5/N5</f>
        <v>#DIV/0!</v>
      </c>
      <c r="P25" t="s">
        <v>1</v>
      </c>
      <c r="Q25">
        <f>(3.14*((Q4/2)^2)*W4)/1000000000</f>
        <v>0.87919999999999998</v>
      </c>
      <c r="R25">
        <f>3.14*((R4/2)^2)*X4/1000000000</f>
        <v>1.0167902784</v>
      </c>
      <c r="S25">
        <f t="shared" ref="S25" si="1">3.14*((S4/2)^2)*Y4/1000000000</f>
        <v>0</v>
      </c>
      <c r="V25" t="s">
        <v>1</v>
      </c>
      <c r="W25">
        <f>E46/Q25</f>
        <v>3.2415832575068249E-2</v>
      </c>
      <c r="X25">
        <f>F46/R25</f>
        <v>5.3895086493384009E-2</v>
      </c>
      <c r="Y25" t="e">
        <f t="shared" ref="X25:Y27" si="2">G46/S25</f>
        <v>#DIV/0!</v>
      </c>
      <c r="AB25">
        <f>(Q25-Q65)</f>
        <v>0.76004629439999993</v>
      </c>
    </row>
    <row r="26" spans="3:28" x14ac:dyDescent="0.25">
      <c r="J26" t="s">
        <v>2</v>
      </c>
      <c r="K26" t="e">
        <f t="shared" ref="K26" si="3">E5/K5*100</f>
        <v>#DIV/0!</v>
      </c>
      <c r="L26">
        <f>F5/L5*100</f>
        <v>111.56583629893237</v>
      </c>
      <c r="M26" t="e">
        <f t="shared" ref="M26" si="4">G5/M5*100</f>
        <v>#DIV/0!</v>
      </c>
      <c r="N26" t="e">
        <f>F5/#REF!*100</f>
        <v>#REF!</v>
      </c>
      <c r="P26" t="s">
        <v>2</v>
      </c>
      <c r="Q26">
        <f t="shared" ref="Q26:Q27" si="5">3.14*((Q5/2)^2)*W5/1000000000</f>
        <v>0</v>
      </c>
      <c r="R26">
        <f t="shared" ref="R26:R27" si="6">3.14*((R5/2)^2)*X5/1000000000</f>
        <v>1.2008815625500002</v>
      </c>
      <c r="S26">
        <f t="shared" ref="S26:S27" si="7">3.14*((S5/2)^2)*Y5/1000000000</f>
        <v>0</v>
      </c>
      <c r="V26" t="s">
        <v>2</v>
      </c>
      <c r="W26" t="e">
        <f t="shared" ref="W26:W27" si="8">E47/Q26</f>
        <v>#DIV/0!</v>
      </c>
      <c r="X26">
        <f t="shared" si="2"/>
        <v>5.2211643475365124E-2</v>
      </c>
      <c r="Y26" t="e">
        <f t="shared" si="2"/>
        <v>#DIV/0!</v>
      </c>
      <c r="AB26">
        <f t="shared" ref="AB26:AB27" si="9">Q26-Q66</f>
        <v>0</v>
      </c>
    </row>
    <row r="27" spans="3:28" x14ac:dyDescent="0.25">
      <c r="J27" t="s">
        <v>3</v>
      </c>
      <c r="K27" t="e">
        <f t="shared" ref="K27" si="10">E6/K6*100</f>
        <v>#DIV/0!</v>
      </c>
      <c r="L27">
        <f>F6/L6*100</f>
        <v>76.606683804627252</v>
      </c>
      <c r="M27" t="e">
        <f>G6/#REF!*100</f>
        <v>#REF!</v>
      </c>
      <c r="P27" t="s">
        <v>3</v>
      </c>
      <c r="Q27">
        <f t="shared" si="5"/>
        <v>0</v>
      </c>
      <c r="R27">
        <f t="shared" si="6"/>
        <v>1.3986271994999999</v>
      </c>
      <c r="S27">
        <f t="shared" si="7"/>
        <v>0</v>
      </c>
      <c r="V27" t="s">
        <v>3</v>
      </c>
      <c r="W27" t="e">
        <f t="shared" si="8"/>
        <v>#DIV/0!</v>
      </c>
      <c r="X27">
        <f t="shared" si="2"/>
        <v>2.1306606943332224E-2</v>
      </c>
      <c r="Y27" t="e">
        <f t="shared" si="2"/>
        <v>#DIV/0!</v>
      </c>
      <c r="AB27">
        <f t="shared" si="9"/>
        <v>0</v>
      </c>
    </row>
    <row r="30" spans="3:28" x14ac:dyDescent="0.25">
      <c r="J30" t="s">
        <v>8</v>
      </c>
      <c r="K30" t="s">
        <v>4</v>
      </c>
      <c r="L30" t="s">
        <v>5</v>
      </c>
      <c r="M30" t="s">
        <v>6</v>
      </c>
      <c r="P30" t="s">
        <v>8</v>
      </c>
      <c r="Q30" t="s">
        <v>4</v>
      </c>
      <c r="R30" t="s">
        <v>5</v>
      </c>
      <c r="S30" t="s">
        <v>6</v>
      </c>
      <c r="V30" t="s">
        <v>8</v>
      </c>
      <c r="W30" t="s">
        <v>4</v>
      </c>
      <c r="X30" t="s">
        <v>5</v>
      </c>
      <c r="Y30" t="s">
        <v>6</v>
      </c>
    </row>
    <row r="31" spans="3:28" x14ac:dyDescent="0.25">
      <c r="J31" t="s">
        <v>1</v>
      </c>
      <c r="K31">
        <f>E10/K10*100</f>
        <v>85.714285714285708</v>
      </c>
      <c r="L31" t="e">
        <f t="shared" ref="L31:M31" si="11">F10/L10*100</f>
        <v>#DIV/0!</v>
      </c>
      <c r="M31" t="e">
        <f t="shared" si="11"/>
        <v>#DIV/0!</v>
      </c>
      <c r="P31" t="s">
        <v>1</v>
      </c>
      <c r="Q31">
        <f>3.14*((Q10/2)^2)*W10/1000000000</f>
        <v>1.3605224517000001</v>
      </c>
      <c r="R31">
        <f t="shared" ref="R31:R33" si="12">3.14*((R10/2)^2)*X10/1000000000</f>
        <v>0</v>
      </c>
      <c r="S31">
        <f t="shared" ref="S31:S33" si="13">3.14*((S10/2)^2)*Y10/1000000000</f>
        <v>0</v>
      </c>
      <c r="V31" t="s">
        <v>1</v>
      </c>
      <c r="W31">
        <f>E52/Q31</f>
        <v>3.5721571473718294E-2</v>
      </c>
      <c r="X31" t="e">
        <f t="shared" ref="X31:X33" si="14">F52/R31</f>
        <v>#DIV/0!</v>
      </c>
      <c r="Y31" t="e">
        <f t="shared" ref="Y31:Y33" si="15">G52/S31</f>
        <v>#DIV/0!</v>
      </c>
    </row>
    <row r="32" spans="3:28" x14ac:dyDescent="0.25">
      <c r="J32" t="s">
        <v>2</v>
      </c>
      <c r="K32">
        <f>E11/K11*100</f>
        <v>107.87234042553192</v>
      </c>
      <c r="L32" t="e">
        <f t="shared" ref="L32:L33" si="16">F11/L11*100</f>
        <v>#DIV/0!</v>
      </c>
      <c r="M32" t="e">
        <f t="shared" ref="M32:M33" si="17">G11/M11*100</f>
        <v>#DIV/0!</v>
      </c>
      <c r="P32" t="s">
        <v>2</v>
      </c>
      <c r="Q32">
        <f t="shared" ref="Q32:Q33" si="18">3.14*((Q11/2)^2)*W11/1000000000</f>
        <v>1.0665193376</v>
      </c>
      <c r="R32">
        <f t="shared" si="12"/>
        <v>0</v>
      </c>
      <c r="S32">
        <f t="shared" si="13"/>
        <v>0</v>
      </c>
      <c r="V32" t="s">
        <v>2</v>
      </c>
      <c r="W32">
        <f t="shared" ref="W32:W33" si="19">E53/Q32</f>
        <v>4.7537815970679694E-2</v>
      </c>
      <c r="X32" t="e">
        <f t="shared" si="14"/>
        <v>#DIV/0!</v>
      </c>
      <c r="Y32" t="e">
        <f t="shared" si="15"/>
        <v>#DIV/0!</v>
      </c>
    </row>
    <row r="33" spans="4:30" x14ac:dyDescent="0.25">
      <c r="J33" t="s">
        <v>3</v>
      </c>
      <c r="K33">
        <f>E12/K12*100</f>
        <v>90.728476821192046</v>
      </c>
      <c r="L33" t="e">
        <f t="shared" si="16"/>
        <v>#DIV/0!</v>
      </c>
      <c r="M33" t="e">
        <f t="shared" si="17"/>
        <v>#DIV/0!</v>
      </c>
      <c r="P33" t="s">
        <v>3</v>
      </c>
      <c r="Q33">
        <f t="shared" si="18"/>
        <v>1.8173586495999998</v>
      </c>
      <c r="R33">
        <f t="shared" si="12"/>
        <v>0</v>
      </c>
      <c r="S33">
        <f t="shared" si="13"/>
        <v>0</v>
      </c>
      <c r="V33" t="s">
        <v>3</v>
      </c>
      <c r="W33">
        <f t="shared" si="19"/>
        <v>2.2615238884766138E-2</v>
      </c>
      <c r="X33" t="e">
        <f t="shared" si="14"/>
        <v>#DIV/0!</v>
      </c>
      <c r="Y33" t="e">
        <f t="shared" si="15"/>
        <v>#DIV/0!</v>
      </c>
    </row>
    <row r="36" spans="4:30" x14ac:dyDescent="0.25">
      <c r="J36" t="s">
        <v>9</v>
      </c>
      <c r="K36" t="s">
        <v>4</v>
      </c>
      <c r="L36" t="s">
        <v>5</v>
      </c>
      <c r="M36" t="s">
        <v>6</v>
      </c>
      <c r="P36" t="s">
        <v>9</v>
      </c>
      <c r="Q36" t="s">
        <v>4</v>
      </c>
      <c r="R36" t="s">
        <v>5</v>
      </c>
      <c r="S36" t="s">
        <v>6</v>
      </c>
      <c r="V36" t="s">
        <v>9</v>
      </c>
      <c r="W36" t="s">
        <v>4</v>
      </c>
      <c r="X36" t="s">
        <v>5</v>
      </c>
      <c r="Y36" t="s">
        <v>6</v>
      </c>
    </row>
    <row r="37" spans="4:30" x14ac:dyDescent="0.25">
      <c r="I37">
        <f>E16/I16</f>
        <v>1.4801762114537445</v>
      </c>
      <c r="J37" t="s">
        <v>1</v>
      </c>
      <c r="K37">
        <f>E16/K16*100</f>
        <v>50.909090909090907</v>
      </c>
      <c r="L37" t="e">
        <f>F16/L16*100</f>
        <v>#DIV/0!</v>
      </c>
      <c r="M37" t="e">
        <f t="shared" ref="M37:M39" si="20">G16/M16*100</f>
        <v>#DIV/0!</v>
      </c>
      <c r="P37" t="s">
        <v>1</v>
      </c>
      <c r="Q37">
        <f>3.14*((Q16/2)^2)*W16/1000000000</f>
        <v>0.73711198560000002</v>
      </c>
      <c r="R37">
        <f t="shared" ref="R37:R39" si="21">3.14*((R16/2)^2)*X16/1000000000</f>
        <v>0</v>
      </c>
      <c r="S37">
        <f t="shared" ref="S37:S39" si="22">3.14*((S16/2)^2)*Y16/1000000000</f>
        <v>0</v>
      </c>
      <c r="V37" t="s">
        <v>1</v>
      </c>
      <c r="W37">
        <f>E58/Q37</f>
        <v>4.5583304377624541E-2</v>
      </c>
      <c r="X37" t="e">
        <f t="shared" ref="X37:X39" si="23">F58/R37</f>
        <v>#DIV/0!</v>
      </c>
      <c r="Y37" t="e">
        <f t="shared" ref="Y37:Y39" si="24">G58/S37</f>
        <v>#DIV/0!</v>
      </c>
    </row>
    <row r="38" spans="4:30" x14ac:dyDescent="0.25">
      <c r="J38" t="s">
        <v>2</v>
      </c>
      <c r="K38">
        <f t="shared" ref="K38" si="25">E17/K17*100</f>
        <v>52.329360780065002</v>
      </c>
      <c r="L38" t="e">
        <f t="shared" ref="L38:L39" si="26">F17/L17*100</f>
        <v>#DIV/0!</v>
      </c>
      <c r="M38" t="e">
        <f t="shared" si="20"/>
        <v>#DIV/0!</v>
      </c>
      <c r="P38" t="s">
        <v>2</v>
      </c>
      <c r="Q38">
        <f>3.14*((Q17/2)^2)*W17/1000000000</f>
        <v>1.81421774685</v>
      </c>
      <c r="R38">
        <f t="shared" si="21"/>
        <v>0</v>
      </c>
      <c r="S38">
        <f t="shared" si="22"/>
        <v>0</v>
      </c>
      <c r="V38" t="s">
        <v>2</v>
      </c>
      <c r="W38">
        <f t="shared" ref="W38:W39" si="27">E59/Q38</f>
        <v>2.6623044606339338E-2</v>
      </c>
      <c r="X38" t="e">
        <f t="shared" si="23"/>
        <v>#DIV/0!</v>
      </c>
      <c r="Y38" t="e">
        <f t="shared" si="24"/>
        <v>#DIV/0!</v>
      </c>
    </row>
    <row r="39" spans="4:30" x14ac:dyDescent="0.25">
      <c r="I39">
        <f>E18/I18</f>
        <v>0.87139689578713964</v>
      </c>
      <c r="J39" t="s">
        <v>3</v>
      </c>
      <c r="K39">
        <f>E18/K18*100</f>
        <v>62.88</v>
      </c>
      <c r="L39" t="e">
        <f t="shared" si="26"/>
        <v>#DIV/0!</v>
      </c>
      <c r="M39" t="e">
        <f t="shared" si="20"/>
        <v>#DIV/0!</v>
      </c>
      <c r="P39" t="s">
        <v>3</v>
      </c>
      <c r="Q39">
        <f>3.14*((Q18/2)^2)*W18/1000000000</f>
        <v>2.1717554404000001</v>
      </c>
      <c r="R39">
        <f t="shared" si="21"/>
        <v>0</v>
      </c>
      <c r="S39">
        <f t="shared" si="22"/>
        <v>0</v>
      </c>
      <c r="V39" t="s">
        <v>3</v>
      </c>
      <c r="W39">
        <f t="shared" si="27"/>
        <v>1.809596019373232E-2</v>
      </c>
      <c r="X39" t="e">
        <f t="shared" si="23"/>
        <v>#DIV/0!</v>
      </c>
      <c r="Y39" t="e">
        <f t="shared" si="24"/>
        <v>#DIV/0!</v>
      </c>
    </row>
    <row r="42" spans="4:30" x14ac:dyDescent="0.25">
      <c r="AA42" t="s">
        <v>28</v>
      </c>
      <c r="AB42" t="s">
        <v>38</v>
      </c>
    </row>
    <row r="43" spans="4:30" x14ac:dyDescent="0.25">
      <c r="D43" t="s">
        <v>21</v>
      </c>
      <c r="E43" t="s">
        <v>37</v>
      </c>
      <c r="J43" t="s">
        <v>40</v>
      </c>
      <c r="P43" t="s">
        <v>29</v>
      </c>
      <c r="V43" t="s">
        <v>30</v>
      </c>
      <c r="AA43" t="s">
        <v>33</v>
      </c>
    </row>
    <row r="44" spans="4:30" x14ac:dyDescent="0.25">
      <c r="D44" t="s">
        <v>17</v>
      </c>
      <c r="J44" t="s">
        <v>17</v>
      </c>
      <c r="P44" t="s">
        <v>7</v>
      </c>
      <c r="Q44" t="s">
        <v>4</v>
      </c>
      <c r="R44" t="s">
        <v>5</v>
      </c>
      <c r="S44" t="s">
        <v>6</v>
      </c>
      <c r="V44" t="s">
        <v>7</v>
      </c>
      <c r="W44" t="s">
        <v>4</v>
      </c>
      <c r="X44" t="s">
        <v>5</v>
      </c>
      <c r="Y44" t="s">
        <v>6</v>
      </c>
      <c r="AA44" t="s">
        <v>7</v>
      </c>
      <c r="AB44" t="s">
        <v>4</v>
      </c>
      <c r="AC44" t="s">
        <v>5</v>
      </c>
      <c r="AD44" t="s">
        <v>6</v>
      </c>
    </row>
    <row r="45" spans="4:30" x14ac:dyDescent="0.25">
      <c r="D45" t="s">
        <v>7</v>
      </c>
      <c r="E45" t="s">
        <v>4</v>
      </c>
      <c r="F45" t="s">
        <v>5</v>
      </c>
      <c r="G45" t="s">
        <v>6</v>
      </c>
      <c r="J45" t="s">
        <v>7</v>
      </c>
      <c r="K45" t="s">
        <v>4</v>
      </c>
      <c r="L45" t="s">
        <v>5</v>
      </c>
      <c r="M45" t="s">
        <v>6</v>
      </c>
      <c r="P45" t="s">
        <v>1</v>
      </c>
      <c r="Q45">
        <v>974</v>
      </c>
      <c r="R45">
        <v>1092</v>
      </c>
      <c r="V45" t="s">
        <v>1</v>
      </c>
      <c r="W45">
        <v>160</v>
      </c>
      <c r="X45">
        <v>170</v>
      </c>
      <c r="AA45" t="s">
        <v>1</v>
      </c>
      <c r="AB45">
        <f>(E46/(Q25-Q65))*100</f>
        <v>3.7497715875976523</v>
      </c>
      <c r="AC45">
        <f>(F46/(R25-R65))*100</f>
        <v>6.3895084636674371</v>
      </c>
      <c r="AD45" t="e">
        <f t="shared" ref="AD45" si="28">G46/(S25-S65)</f>
        <v>#DIV/0!</v>
      </c>
    </row>
    <row r="46" spans="4:30" x14ac:dyDescent="0.25">
      <c r="D46" t="s">
        <v>1</v>
      </c>
      <c r="E46">
        <f>E4/1000000000</f>
        <v>2.8500000000000001E-2</v>
      </c>
      <c r="F46">
        <f t="shared" ref="F46:G46" si="29">F4/1000000000</f>
        <v>5.4800000000000008E-2</v>
      </c>
      <c r="G46">
        <f t="shared" si="29"/>
        <v>0</v>
      </c>
      <c r="J46" t="s">
        <v>1</v>
      </c>
      <c r="K46">
        <f>K4/1000000000</f>
        <v>4.0099999999999997E-2</v>
      </c>
      <c r="L46">
        <f t="shared" ref="L46:M46" si="30">L4/1000000000</f>
        <v>0.03</v>
      </c>
      <c r="M46">
        <f t="shared" si="30"/>
        <v>0</v>
      </c>
      <c r="P46" t="s">
        <v>2</v>
      </c>
      <c r="R46">
        <v>1484</v>
      </c>
      <c r="V46" t="s">
        <v>2</v>
      </c>
      <c r="X46">
        <v>130</v>
      </c>
      <c r="AA46" t="s">
        <v>2</v>
      </c>
      <c r="AB46" t="e">
        <f t="shared" ref="AB46" si="31">E47/(Q26-Q66)*100</f>
        <v>#DIV/0!</v>
      </c>
      <c r="AC46">
        <f>F47/(R26-R66)*100</f>
        <v>6.4232501560197317</v>
      </c>
      <c r="AD46" t="e">
        <f t="shared" ref="AD46:AD47" si="32">G47/(S26-S66)</f>
        <v>#DIV/0!</v>
      </c>
    </row>
    <row r="47" spans="4:30" x14ac:dyDescent="0.25">
      <c r="D47" t="s">
        <v>2</v>
      </c>
      <c r="E47">
        <f t="shared" ref="E47:G47" si="33">E5/1000000000</f>
        <v>0</v>
      </c>
      <c r="F47">
        <f t="shared" si="33"/>
        <v>6.2699999999999992E-2</v>
      </c>
      <c r="G47">
        <f t="shared" si="33"/>
        <v>0</v>
      </c>
      <c r="J47" t="s">
        <v>2</v>
      </c>
      <c r="K47">
        <f t="shared" ref="K47:M47" si="34">K5/1000000000</f>
        <v>0</v>
      </c>
      <c r="L47">
        <f t="shared" si="34"/>
        <v>5.62E-2</v>
      </c>
      <c r="M47">
        <f t="shared" si="34"/>
        <v>0</v>
      </c>
      <c r="P47" t="s">
        <v>3</v>
      </c>
      <c r="R47">
        <v>1300</v>
      </c>
      <c r="V47" t="s">
        <v>3</v>
      </c>
      <c r="X47">
        <v>140</v>
      </c>
      <c r="AA47" t="s">
        <v>3</v>
      </c>
      <c r="AB47" t="e">
        <f t="shared" ref="AB47" si="35">E48/(Q27-Q67)*100</f>
        <v>#DIV/0!</v>
      </c>
      <c r="AC47">
        <f>F48/(R27-R67)*100</f>
        <v>2.4569291265225046</v>
      </c>
      <c r="AD47" t="e">
        <f t="shared" si="32"/>
        <v>#DIV/0!</v>
      </c>
    </row>
    <row r="48" spans="4:30" x14ac:dyDescent="0.25">
      <c r="D48" t="s">
        <v>3</v>
      </c>
      <c r="E48">
        <f t="shared" ref="E48:G48" si="36">E6/1000000000</f>
        <v>0</v>
      </c>
      <c r="F48">
        <f t="shared" si="36"/>
        <v>2.98E-2</v>
      </c>
      <c r="G48">
        <f t="shared" si="36"/>
        <v>0</v>
      </c>
      <c r="J48" t="s">
        <v>3</v>
      </c>
      <c r="K48">
        <f t="shared" ref="K48:M48" si="37">K6/1000000000</f>
        <v>0</v>
      </c>
      <c r="L48">
        <f>L6/1000000000</f>
        <v>3.8899999999999997E-2</v>
      </c>
      <c r="M48">
        <f t="shared" si="37"/>
        <v>0</v>
      </c>
    </row>
    <row r="50" spans="4:30" x14ac:dyDescent="0.25">
      <c r="P50" t="s">
        <v>8</v>
      </c>
      <c r="Q50" t="s">
        <v>4</v>
      </c>
      <c r="R50" t="s">
        <v>5</v>
      </c>
      <c r="S50" t="s">
        <v>6</v>
      </c>
      <c r="V50" t="s">
        <v>8</v>
      </c>
      <c r="W50" t="s">
        <v>4</v>
      </c>
      <c r="X50" t="s">
        <v>5</v>
      </c>
      <c r="Y50" t="s">
        <v>6</v>
      </c>
      <c r="AA50" t="s">
        <v>8</v>
      </c>
      <c r="AB50" t="s">
        <v>4</v>
      </c>
      <c r="AC50" t="s">
        <v>5</v>
      </c>
      <c r="AD50" t="s">
        <v>6</v>
      </c>
    </row>
    <row r="51" spans="4:30" x14ac:dyDescent="0.25">
      <c r="D51" t="s">
        <v>8</v>
      </c>
      <c r="E51" t="s">
        <v>4</v>
      </c>
      <c r="F51" t="s">
        <v>5</v>
      </c>
      <c r="G51" t="s">
        <v>6</v>
      </c>
      <c r="J51" t="s">
        <v>8</v>
      </c>
      <c r="K51" t="s">
        <v>4</v>
      </c>
      <c r="L51" t="s">
        <v>5</v>
      </c>
      <c r="M51" t="s">
        <v>6</v>
      </c>
      <c r="P51" t="s">
        <v>1</v>
      </c>
      <c r="Q51">
        <v>2452</v>
      </c>
      <c r="V51" t="s">
        <v>1</v>
      </c>
      <c r="W51">
        <v>120</v>
      </c>
      <c r="AA51" t="s">
        <v>1</v>
      </c>
      <c r="AB51">
        <f>E52/(Q31-Q71)*100</f>
        <v>6.1196473028311988</v>
      </c>
      <c r="AC51" t="e">
        <f t="shared" ref="AC51:AD53" si="38">F52/(R31-R71)</f>
        <v>#DIV/0!</v>
      </c>
      <c r="AD51" t="e">
        <f t="shared" si="38"/>
        <v>#DIV/0!</v>
      </c>
    </row>
    <row r="52" spans="4:30" x14ac:dyDescent="0.25">
      <c r="D52" t="s">
        <v>1</v>
      </c>
      <c r="E52">
        <f>E10/1000000000</f>
        <v>4.8599999999999997E-2</v>
      </c>
      <c r="F52">
        <f t="shared" ref="F52:G52" si="39">F10/1000000000</f>
        <v>0</v>
      </c>
      <c r="G52">
        <f t="shared" si="39"/>
        <v>0</v>
      </c>
      <c r="J52" t="s">
        <v>1</v>
      </c>
      <c r="K52">
        <f>K10/1000000000</f>
        <v>5.67E-2</v>
      </c>
      <c r="L52">
        <f t="shared" ref="L52:M52" si="40">L10/1000000000</f>
        <v>0</v>
      </c>
      <c r="M52">
        <f t="shared" si="40"/>
        <v>0</v>
      </c>
      <c r="P52" t="s">
        <v>2</v>
      </c>
      <c r="Q52">
        <v>2286</v>
      </c>
      <c r="V52" t="s">
        <v>2</v>
      </c>
      <c r="W52">
        <v>100</v>
      </c>
      <c r="AA52" t="s">
        <v>2</v>
      </c>
      <c r="AB52">
        <f>E53/(Q32-Q72)*100</f>
        <v>7.7251921910339361</v>
      </c>
      <c r="AC52" t="e">
        <f t="shared" si="38"/>
        <v>#DIV/0!</v>
      </c>
      <c r="AD52" t="e">
        <f t="shared" si="38"/>
        <v>#DIV/0!</v>
      </c>
    </row>
    <row r="53" spans="4:30" x14ac:dyDescent="0.25">
      <c r="D53" t="s">
        <v>2</v>
      </c>
      <c r="E53">
        <f t="shared" ref="E53:G53" si="41">E11/1000000000</f>
        <v>5.0700000000000002E-2</v>
      </c>
      <c r="F53">
        <f t="shared" si="41"/>
        <v>0</v>
      </c>
      <c r="G53">
        <f t="shared" si="41"/>
        <v>0</v>
      </c>
      <c r="J53" t="s">
        <v>2</v>
      </c>
      <c r="K53">
        <f t="shared" ref="K53:M53" si="42">K11/1000000000</f>
        <v>4.7E-2</v>
      </c>
      <c r="L53">
        <f t="shared" si="42"/>
        <v>0</v>
      </c>
      <c r="M53">
        <f t="shared" si="42"/>
        <v>0</v>
      </c>
      <c r="P53" t="s">
        <v>3</v>
      </c>
      <c r="Q53">
        <v>2585</v>
      </c>
      <c r="V53" t="s">
        <v>3</v>
      </c>
      <c r="W53">
        <v>110</v>
      </c>
      <c r="AA53" t="s">
        <v>3</v>
      </c>
      <c r="AB53">
        <f>E54/(Q33-Q73)*100</f>
        <v>3.3135847956536066</v>
      </c>
      <c r="AC53" t="e">
        <f t="shared" si="38"/>
        <v>#DIV/0!</v>
      </c>
      <c r="AD53" t="e">
        <f t="shared" si="38"/>
        <v>#DIV/0!</v>
      </c>
    </row>
    <row r="54" spans="4:30" x14ac:dyDescent="0.25">
      <c r="D54" t="s">
        <v>3</v>
      </c>
      <c r="E54">
        <f t="shared" ref="E54:G54" si="43">E12/1000000000</f>
        <v>4.1099999999999998E-2</v>
      </c>
      <c r="F54">
        <f t="shared" si="43"/>
        <v>0</v>
      </c>
      <c r="G54">
        <f t="shared" si="43"/>
        <v>0</v>
      </c>
      <c r="J54" t="s">
        <v>3</v>
      </c>
      <c r="K54">
        <f t="shared" ref="K54:M54" si="44">K12/1000000000</f>
        <v>4.53E-2</v>
      </c>
      <c r="L54">
        <f t="shared" si="44"/>
        <v>0</v>
      </c>
      <c r="M54">
        <f t="shared" si="44"/>
        <v>0</v>
      </c>
    </row>
    <row r="56" spans="4:30" x14ac:dyDescent="0.25">
      <c r="P56" t="s">
        <v>9</v>
      </c>
      <c r="Q56" t="s">
        <v>4</v>
      </c>
      <c r="R56" t="s">
        <v>5</v>
      </c>
      <c r="S56" t="s">
        <v>6</v>
      </c>
      <c r="V56" t="s">
        <v>9</v>
      </c>
      <c r="W56" t="s">
        <v>4</v>
      </c>
      <c r="X56" t="s">
        <v>5</v>
      </c>
      <c r="Y56" t="s">
        <v>6</v>
      </c>
      <c r="AA56" t="s">
        <v>9</v>
      </c>
      <c r="AB56" t="s">
        <v>4</v>
      </c>
      <c r="AC56" t="s">
        <v>5</v>
      </c>
      <c r="AD56" t="s">
        <v>6</v>
      </c>
    </row>
    <row r="57" spans="4:30" x14ac:dyDescent="0.25">
      <c r="D57" t="s">
        <v>9</v>
      </c>
      <c r="E57" t="s">
        <v>4</v>
      </c>
      <c r="F57" t="s">
        <v>5</v>
      </c>
      <c r="G57" t="s">
        <v>6</v>
      </c>
      <c r="J57" t="s">
        <v>9</v>
      </c>
      <c r="K57" t="s">
        <v>4</v>
      </c>
      <c r="L57" t="s">
        <v>5</v>
      </c>
      <c r="M57" t="s">
        <v>6</v>
      </c>
      <c r="P57" t="s">
        <v>1</v>
      </c>
      <c r="Q57">
        <v>1432</v>
      </c>
      <c r="V57" t="s">
        <v>1</v>
      </c>
      <c r="W57">
        <v>140</v>
      </c>
      <c r="AA57" t="s">
        <v>1</v>
      </c>
      <c r="AB57">
        <f>E58/(Q37-Q77)*100</f>
        <v>6.565726336368007</v>
      </c>
      <c r="AC57" t="e">
        <f>F58/(R37-R77)</f>
        <v>#DIV/0!</v>
      </c>
      <c r="AD57" t="e">
        <f>G58/(S37-S77)</f>
        <v>#DIV/0!</v>
      </c>
    </row>
    <row r="58" spans="4:30" x14ac:dyDescent="0.25">
      <c r="D58" t="s">
        <v>1</v>
      </c>
      <c r="E58">
        <f>E16/1000000000</f>
        <v>3.3599999999999998E-2</v>
      </c>
      <c r="F58">
        <f t="shared" ref="F58:G58" si="45">F16/1000000000</f>
        <v>0</v>
      </c>
      <c r="G58">
        <f t="shared" si="45"/>
        <v>0</v>
      </c>
      <c r="J58" t="s">
        <v>1</v>
      </c>
      <c r="K58">
        <f>K16/1000000000</f>
        <v>6.6000000000000003E-2</v>
      </c>
      <c r="L58">
        <f t="shared" ref="L58:M58" si="46">L16/1000000000</f>
        <v>0</v>
      </c>
      <c r="M58">
        <f t="shared" si="46"/>
        <v>0</v>
      </c>
      <c r="P58" t="s">
        <v>2</v>
      </c>
      <c r="Q58">
        <v>1789</v>
      </c>
      <c r="V58" t="s">
        <v>2</v>
      </c>
      <c r="W58">
        <v>130</v>
      </c>
      <c r="AA58" t="s">
        <v>2</v>
      </c>
      <c r="AB58">
        <f>E59/(Q38-Q78)*100</f>
        <v>3.246830554861694</v>
      </c>
      <c r="AC58" t="e">
        <f t="shared" ref="AC58:AC59" si="47">F59/(R38-R78)</f>
        <v>#DIV/0!</v>
      </c>
      <c r="AD58" t="e">
        <f t="shared" ref="AD58:AD59" si="48">G59/(S38-S78)</f>
        <v>#DIV/0!</v>
      </c>
    </row>
    <row r="59" spans="4:30" x14ac:dyDescent="0.25">
      <c r="D59" t="s">
        <v>2</v>
      </c>
      <c r="E59">
        <f t="shared" ref="E59:G59" si="49">E17/1000000000</f>
        <v>4.8300000000000003E-2</v>
      </c>
      <c r="F59">
        <f t="shared" si="49"/>
        <v>0</v>
      </c>
      <c r="G59">
        <f t="shared" si="49"/>
        <v>0</v>
      </c>
      <c r="J59" t="s">
        <v>2</v>
      </c>
      <c r="K59">
        <f>K17/1000000000</f>
        <v>9.2299999999999993E-2</v>
      </c>
      <c r="L59">
        <f t="shared" ref="L59:M59" si="50">L17/1000000000</f>
        <v>0</v>
      </c>
      <c r="M59">
        <f t="shared" si="50"/>
        <v>0</v>
      </c>
      <c r="P59" t="s">
        <v>3</v>
      </c>
      <c r="Q59">
        <v>2345</v>
      </c>
      <c r="V59" t="s">
        <v>3</v>
      </c>
      <c r="W59">
        <v>140</v>
      </c>
      <c r="AA59" t="s">
        <v>3</v>
      </c>
      <c r="AB59">
        <f>E60/(Q39-Q79)*100</f>
        <v>2.5073168467587599</v>
      </c>
      <c r="AC59" t="e">
        <f t="shared" si="47"/>
        <v>#DIV/0!</v>
      </c>
      <c r="AD59" t="e">
        <f t="shared" si="48"/>
        <v>#DIV/0!</v>
      </c>
    </row>
    <row r="60" spans="4:30" x14ac:dyDescent="0.25">
      <c r="D60" t="s">
        <v>3</v>
      </c>
      <c r="E60">
        <f t="shared" ref="E60:G60" si="51">E18/1000000000</f>
        <v>3.9300000000000002E-2</v>
      </c>
      <c r="F60">
        <f t="shared" si="51"/>
        <v>0</v>
      </c>
      <c r="G60">
        <f t="shared" si="51"/>
        <v>0</v>
      </c>
      <c r="J60" t="s">
        <v>3</v>
      </c>
      <c r="K60">
        <f t="shared" ref="K60:M60" si="52">K18/1000000000</f>
        <v>6.25E-2</v>
      </c>
      <c r="L60">
        <f t="shared" si="52"/>
        <v>0</v>
      </c>
      <c r="M60">
        <f t="shared" si="52"/>
        <v>0</v>
      </c>
    </row>
    <row r="63" spans="4:30" x14ac:dyDescent="0.25">
      <c r="P63" t="s">
        <v>32</v>
      </c>
    </row>
    <row r="64" spans="4:30" x14ac:dyDescent="0.25">
      <c r="P64" t="s">
        <v>7</v>
      </c>
      <c r="Q64" t="s">
        <v>4</v>
      </c>
      <c r="R64" t="s">
        <v>5</v>
      </c>
      <c r="S64" t="s">
        <v>6</v>
      </c>
    </row>
    <row r="65" spans="16:24" x14ac:dyDescent="0.25">
      <c r="P65" t="s">
        <v>1</v>
      </c>
      <c r="Q65">
        <f>3.14*((Q45/2)^2)*W45/1000000000</f>
        <v>0.11915370560000001</v>
      </c>
      <c r="R65">
        <f>3.14*((R45/2)^2)*X45/1000000000</f>
        <v>0.15913432080000001</v>
      </c>
      <c r="S65">
        <f t="shared" ref="S65" si="53">3.14*((S45/2)^2)*Y45/1000000000</f>
        <v>0</v>
      </c>
      <c r="V65">
        <f>Q25-Q65</f>
        <v>0.76004629439999993</v>
      </c>
      <c r="W65">
        <f>R25-R65</f>
        <v>0.85765595760000002</v>
      </c>
      <c r="X65">
        <f t="shared" ref="X65" si="54">S25-S65</f>
        <v>0</v>
      </c>
    </row>
    <row r="66" spans="16:24" x14ac:dyDescent="0.25">
      <c r="P66" t="s">
        <v>2</v>
      </c>
      <c r="Q66">
        <f t="shared" ref="Q66:Q67" si="55">3.14*((Q46/2)^2)*W46/1000000000</f>
        <v>0</v>
      </c>
      <c r="R66">
        <f>3.14*((R46/2)^2)*X46/1000000000</f>
        <v>0.22474022479999997</v>
      </c>
      <c r="S66">
        <f t="shared" ref="S66:S67" si="56">3.14*((S46/2)^2)*Y46/1000000000</f>
        <v>0</v>
      </c>
      <c r="V66">
        <f t="shared" ref="V66:V67" si="57">Q26-Q66</f>
        <v>0</v>
      </c>
      <c r="W66">
        <f t="shared" ref="W66" si="58">R26-R66</f>
        <v>0.97614133775000023</v>
      </c>
      <c r="X66">
        <f t="shared" ref="X66:X67" si="59">S26-S66</f>
        <v>0</v>
      </c>
    </row>
    <row r="67" spans="16:24" x14ac:dyDescent="0.25">
      <c r="P67" t="s">
        <v>3</v>
      </c>
      <c r="Q67">
        <f t="shared" si="55"/>
        <v>0</v>
      </c>
      <c r="R67">
        <f>3.14*((R47/2)^2)*X47/1000000000</f>
        <v>0.18573100000000001</v>
      </c>
      <c r="S67">
        <f t="shared" si="56"/>
        <v>0</v>
      </c>
      <c r="V67">
        <f t="shared" si="57"/>
        <v>0</v>
      </c>
      <c r="W67">
        <f>R27-R67</f>
        <v>1.2128961994999998</v>
      </c>
      <c r="X67">
        <f t="shared" si="59"/>
        <v>0</v>
      </c>
    </row>
    <row r="70" spans="16:24" x14ac:dyDescent="0.25">
      <c r="P70" t="s">
        <v>8</v>
      </c>
      <c r="Q70" t="s">
        <v>4</v>
      </c>
      <c r="R70" t="s">
        <v>5</v>
      </c>
      <c r="S70" t="s">
        <v>6</v>
      </c>
    </row>
    <row r="71" spans="16:24" x14ac:dyDescent="0.25">
      <c r="P71" t="s">
        <v>1</v>
      </c>
      <c r="Q71">
        <f t="shared" ref="Q71:S73" si="60">3.14*((Q51/2)^2)*W51/1000000000</f>
        <v>0.5663590368000001</v>
      </c>
      <c r="R71">
        <f t="shared" si="60"/>
        <v>0</v>
      </c>
      <c r="S71">
        <f t="shared" si="60"/>
        <v>0</v>
      </c>
      <c r="V71">
        <f t="shared" ref="V71:X73" si="61">Q31-Q71</f>
        <v>0.79416341489999998</v>
      </c>
      <c r="W71">
        <f t="shared" si="61"/>
        <v>0</v>
      </c>
      <c r="X71">
        <f t="shared" si="61"/>
        <v>0</v>
      </c>
    </row>
    <row r="72" spans="16:24" x14ac:dyDescent="0.25">
      <c r="P72" t="s">
        <v>2</v>
      </c>
      <c r="Q72">
        <f t="shared" si="60"/>
        <v>0.41022498600000007</v>
      </c>
      <c r="R72">
        <f t="shared" si="60"/>
        <v>0</v>
      </c>
      <c r="S72">
        <f t="shared" si="60"/>
        <v>0</v>
      </c>
      <c r="V72">
        <f t="shared" si="61"/>
        <v>0.65629435159999994</v>
      </c>
      <c r="W72">
        <f t="shared" si="61"/>
        <v>0</v>
      </c>
      <c r="X72">
        <f t="shared" si="61"/>
        <v>0</v>
      </c>
    </row>
    <row r="73" spans="16:24" x14ac:dyDescent="0.25">
      <c r="P73" t="s">
        <v>3</v>
      </c>
      <c r="Q73">
        <f t="shared" si="60"/>
        <v>0.57701012875000002</v>
      </c>
      <c r="R73">
        <f t="shared" si="60"/>
        <v>0</v>
      </c>
      <c r="S73">
        <f t="shared" si="60"/>
        <v>0</v>
      </c>
      <c r="V73">
        <f t="shared" si="61"/>
        <v>1.2403485208499998</v>
      </c>
      <c r="W73">
        <f t="shared" si="61"/>
        <v>0</v>
      </c>
      <c r="X73">
        <f t="shared" si="61"/>
        <v>0</v>
      </c>
    </row>
    <row r="76" spans="16:24" x14ac:dyDescent="0.25">
      <c r="P76" t="s">
        <v>9</v>
      </c>
      <c r="Q76" t="s">
        <v>4</v>
      </c>
      <c r="R76" t="s">
        <v>5</v>
      </c>
      <c r="S76" t="s">
        <v>6</v>
      </c>
    </row>
    <row r="77" spans="16:24" x14ac:dyDescent="0.25">
      <c r="P77" t="s">
        <v>1</v>
      </c>
      <c r="Q77">
        <f>3.14*((Q57/2)^2)*W57/1000000000</f>
        <v>0.22536357760000003</v>
      </c>
      <c r="R77">
        <f>3.14*((R57/2)^2)*X57/1000000000</f>
        <v>0</v>
      </c>
      <c r="S77">
        <f>3.14*((S57/2)^2)*Y57/1000000000</f>
        <v>0</v>
      </c>
      <c r="V77">
        <f>Q37-Q77</f>
        <v>0.51174840799999999</v>
      </c>
      <c r="W77">
        <f>R37-R77</f>
        <v>0</v>
      </c>
      <c r="X77">
        <f>S37-S77</f>
        <v>0</v>
      </c>
    </row>
    <row r="78" spans="16:24" x14ac:dyDescent="0.25">
      <c r="P78" t="s">
        <v>2</v>
      </c>
      <c r="Q78">
        <f>3.14*((Q58/2)^2)*W58/1000000000</f>
        <v>0.32661316805000001</v>
      </c>
      <c r="R78">
        <f t="shared" ref="R78" si="62">3.14*((R58/2)^2)*X58/1000000000</f>
        <v>0</v>
      </c>
      <c r="S78">
        <f t="shared" ref="S78:S79" si="63">3.14*((S58/2)^2)*Y58/1000000000</f>
        <v>0</v>
      </c>
      <c r="V78">
        <f>Q38-Q78</f>
        <v>1.4876045788000001</v>
      </c>
      <c r="W78">
        <f t="shared" ref="W78:W79" si="64">R38-R78</f>
        <v>0</v>
      </c>
      <c r="X78">
        <f t="shared" ref="X78:X79" si="65">S38-S78</f>
        <v>0</v>
      </c>
    </row>
    <row r="79" spans="16:24" x14ac:dyDescent="0.25">
      <c r="P79" t="s">
        <v>3</v>
      </c>
      <c r="Q79">
        <f>3.14*((Q59/2)^2)*W59/1000000000</f>
        <v>0.6043428475</v>
      </c>
      <c r="R79">
        <f>3.14*((R59/2)^2)*X59/1000000000</f>
        <v>0</v>
      </c>
      <c r="S79">
        <f t="shared" si="63"/>
        <v>0</v>
      </c>
      <c r="V79">
        <f>Q39-Q79</f>
        <v>1.5674125929000002</v>
      </c>
      <c r="W79">
        <f t="shared" si="64"/>
        <v>0</v>
      </c>
      <c r="X79">
        <f t="shared" si="6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3" workbookViewId="0">
      <selection activeCell="H35" sqref="H35:H37"/>
    </sheetView>
  </sheetViews>
  <sheetFormatPr defaultRowHeight="15" x14ac:dyDescent="0.25"/>
  <cols>
    <col min="2" max="3" width="10" bestFit="1" customWidth="1"/>
  </cols>
  <sheetData>
    <row r="1" spans="1:16" x14ac:dyDescent="0.25">
      <c r="A1" t="s">
        <v>44</v>
      </c>
      <c r="G1" t="s">
        <v>21</v>
      </c>
      <c r="H1" t="s">
        <v>39</v>
      </c>
      <c r="N1" t="s">
        <v>39</v>
      </c>
      <c r="O1" t="s">
        <v>0</v>
      </c>
    </row>
    <row r="2" spans="1:16" x14ac:dyDescent="0.25">
      <c r="A2" t="s">
        <v>17</v>
      </c>
      <c r="G2" t="s">
        <v>17</v>
      </c>
    </row>
    <row r="3" spans="1:16" x14ac:dyDescent="0.25">
      <c r="A3" t="s">
        <v>7</v>
      </c>
      <c r="B3" t="s">
        <v>4</v>
      </c>
      <c r="C3" t="s">
        <v>5</v>
      </c>
      <c r="D3" t="s">
        <v>6</v>
      </c>
      <c r="G3" t="s">
        <v>7</v>
      </c>
      <c r="H3" t="s">
        <v>4</v>
      </c>
      <c r="I3" t="s">
        <v>5</v>
      </c>
      <c r="J3" t="s">
        <v>6</v>
      </c>
      <c r="M3" t="s">
        <v>7</v>
      </c>
      <c r="N3" t="s">
        <v>4</v>
      </c>
      <c r="O3" t="s">
        <v>5</v>
      </c>
      <c r="P3" t="s">
        <v>6</v>
      </c>
    </row>
    <row r="4" spans="1:16" x14ac:dyDescent="0.25">
      <c r="A4" t="s">
        <v>1</v>
      </c>
      <c r="B4">
        <f>1.01*10^7</f>
        <v>10100000</v>
      </c>
      <c r="C4">
        <f>8.7*10^6</f>
        <v>8700000</v>
      </c>
      <c r="G4" t="s">
        <v>1</v>
      </c>
      <c r="H4">
        <v>28500000</v>
      </c>
      <c r="I4">
        <v>54800000.000000007</v>
      </c>
      <c r="M4" t="s">
        <v>1</v>
      </c>
      <c r="N4">
        <v>40100000</v>
      </c>
      <c r="O4">
        <v>30000000</v>
      </c>
    </row>
    <row r="5" spans="1:16" x14ac:dyDescent="0.25">
      <c r="A5" t="s">
        <v>2</v>
      </c>
      <c r="C5">
        <f>1.39*10^7</f>
        <v>13899999.999999998</v>
      </c>
      <c r="G5" t="s">
        <v>2</v>
      </c>
      <c r="I5">
        <v>62699999.999999993</v>
      </c>
      <c r="M5" t="s">
        <v>2</v>
      </c>
      <c r="O5">
        <v>56200000</v>
      </c>
    </row>
    <row r="6" spans="1:16" x14ac:dyDescent="0.25">
      <c r="A6" t="s">
        <v>3</v>
      </c>
      <c r="C6">
        <f>1.38*10^7</f>
        <v>13799999.999999998</v>
      </c>
      <c r="G6" t="s">
        <v>3</v>
      </c>
      <c r="I6">
        <v>29800000</v>
      </c>
      <c r="M6" t="s">
        <v>3</v>
      </c>
      <c r="O6">
        <v>38900000</v>
      </c>
    </row>
    <row r="9" spans="1:16" x14ac:dyDescent="0.25">
      <c r="A9" t="s">
        <v>8</v>
      </c>
      <c r="B9" t="s">
        <v>4</v>
      </c>
      <c r="C9" t="s">
        <v>5</v>
      </c>
      <c r="D9" t="s">
        <v>6</v>
      </c>
      <c r="G9" t="s">
        <v>8</v>
      </c>
      <c r="H9" t="s">
        <v>4</v>
      </c>
      <c r="I9" t="s">
        <v>5</v>
      </c>
      <c r="J9" t="s">
        <v>6</v>
      </c>
      <c r="M9" t="s">
        <v>8</v>
      </c>
      <c r="N9" t="s">
        <v>4</v>
      </c>
      <c r="O9" t="s">
        <v>5</v>
      </c>
      <c r="P9" t="s">
        <v>6</v>
      </c>
    </row>
    <row r="10" spans="1:16" x14ac:dyDescent="0.25">
      <c r="A10" t="s">
        <v>1</v>
      </c>
      <c r="B10">
        <f>3.62*10^7</f>
        <v>36200000</v>
      </c>
      <c r="G10" t="s">
        <v>1</v>
      </c>
      <c r="H10">
        <v>48600000</v>
      </c>
      <c r="M10" t="s">
        <v>1</v>
      </c>
      <c r="N10">
        <v>56700000</v>
      </c>
    </row>
    <row r="11" spans="1:16" x14ac:dyDescent="0.25">
      <c r="A11" t="s">
        <v>2</v>
      </c>
      <c r="B11">
        <f>2.76*10^7</f>
        <v>27599999.999999996</v>
      </c>
      <c r="G11" t="s">
        <v>2</v>
      </c>
      <c r="H11">
        <v>50700000</v>
      </c>
      <c r="M11" t="s">
        <v>2</v>
      </c>
      <c r="N11">
        <v>47000000</v>
      </c>
    </row>
    <row r="12" spans="1:16" x14ac:dyDescent="0.25">
      <c r="A12" t="s">
        <v>3</v>
      </c>
      <c r="B12">
        <f>3.67*10^7</f>
        <v>36700000</v>
      </c>
      <c r="G12" t="s">
        <v>3</v>
      </c>
      <c r="H12">
        <v>41100000</v>
      </c>
      <c r="M12" t="s">
        <v>3</v>
      </c>
      <c r="N12">
        <v>45300000</v>
      </c>
    </row>
    <row r="15" spans="1:16" x14ac:dyDescent="0.25">
      <c r="A15" t="s">
        <v>9</v>
      </c>
      <c r="B15" t="s">
        <v>4</v>
      </c>
      <c r="C15" t="s">
        <v>5</v>
      </c>
      <c r="D15" t="s">
        <v>6</v>
      </c>
      <c r="G15" t="s">
        <v>9</v>
      </c>
      <c r="H15" t="s">
        <v>4</v>
      </c>
      <c r="I15" t="s">
        <v>5</v>
      </c>
      <c r="J15" t="s">
        <v>6</v>
      </c>
      <c r="L15" t="s">
        <v>34</v>
      </c>
      <c r="M15" t="s">
        <v>9</v>
      </c>
      <c r="N15" t="s">
        <v>4</v>
      </c>
      <c r="O15" t="s">
        <v>5</v>
      </c>
      <c r="P15" t="s">
        <v>6</v>
      </c>
    </row>
    <row r="16" spans="1:16" x14ac:dyDescent="0.25">
      <c r="A16" t="s">
        <v>1</v>
      </c>
      <c r="B16">
        <f>2.15*10^7</f>
        <v>21500000</v>
      </c>
      <c r="G16" t="s">
        <v>1</v>
      </c>
      <c r="H16">
        <v>33600000</v>
      </c>
      <c r="L16">
        <v>22700000</v>
      </c>
      <c r="M16" t="s">
        <v>1</v>
      </c>
      <c r="N16">
        <v>66000000</v>
      </c>
    </row>
    <row r="17" spans="1:14" x14ac:dyDescent="0.25">
      <c r="A17" t="s">
        <v>2</v>
      </c>
      <c r="B17">
        <f>2.48*10^7</f>
        <v>24800000</v>
      </c>
      <c r="G17" t="s">
        <v>2</v>
      </c>
      <c r="H17">
        <v>48300000</v>
      </c>
      <c r="M17" t="s">
        <v>2</v>
      </c>
      <c r="N17">
        <v>92300000</v>
      </c>
    </row>
    <row r="18" spans="1:14" x14ac:dyDescent="0.25">
      <c r="A18" t="s">
        <v>3</v>
      </c>
      <c r="B18">
        <f>3.67*10^7</f>
        <v>36700000</v>
      </c>
      <c r="G18" t="s">
        <v>3</v>
      </c>
      <c r="H18">
        <v>39300000</v>
      </c>
      <c r="L18">
        <v>45100000</v>
      </c>
      <c r="M18" t="s">
        <v>3</v>
      </c>
      <c r="N18">
        <v>62500000</v>
      </c>
    </row>
    <row r="21" spans="1:14" x14ac:dyDescent="0.25">
      <c r="C21" t="s">
        <v>46</v>
      </c>
      <c r="G21" t="s">
        <v>45</v>
      </c>
    </row>
    <row r="23" spans="1:14" x14ac:dyDescent="0.25">
      <c r="C23">
        <f>H4/B4</f>
        <v>2.8217821782178216</v>
      </c>
      <c r="D23">
        <f>I4/C4</f>
        <v>6.2988505747126444</v>
      </c>
      <c r="H23">
        <f>N4/B4</f>
        <v>3.9702970297029703</v>
      </c>
      <c r="I23">
        <f>O4/C4</f>
        <v>3.4482758620689653</v>
      </c>
    </row>
    <row r="24" spans="1:14" x14ac:dyDescent="0.25">
      <c r="C24" t="e">
        <f t="shared" ref="C24:C37" si="0">H5/B5</f>
        <v>#DIV/0!</v>
      </c>
      <c r="D24">
        <f t="shared" ref="D24:D37" si="1">I5/C5</f>
        <v>4.5107913669064752</v>
      </c>
      <c r="H24" t="e">
        <f>N5B5</f>
        <v>#NAME?</v>
      </c>
      <c r="I24">
        <f>O5/C5</f>
        <v>4.0431654676258999</v>
      </c>
    </row>
    <row r="25" spans="1:14" x14ac:dyDescent="0.25">
      <c r="C25" t="e">
        <f t="shared" si="0"/>
        <v>#DIV/0!</v>
      </c>
      <c r="D25">
        <f t="shared" si="1"/>
        <v>2.1594202898550727</v>
      </c>
      <c r="H25" t="e">
        <f>N6/B6</f>
        <v>#DIV/0!</v>
      </c>
      <c r="I25">
        <f>O6/C6</f>
        <v>2.8188405797101455</v>
      </c>
    </row>
    <row r="29" spans="1:14" x14ac:dyDescent="0.25">
      <c r="C29">
        <f t="shared" si="0"/>
        <v>1.3425414364640884</v>
      </c>
      <c r="D29" t="e">
        <f t="shared" si="1"/>
        <v>#DIV/0!</v>
      </c>
      <c r="H29">
        <f t="shared" ref="H29:I31" si="2">N10/B10</f>
        <v>1.5662983425414365</v>
      </c>
      <c r="I29" t="e">
        <f t="shared" si="2"/>
        <v>#DIV/0!</v>
      </c>
    </row>
    <row r="30" spans="1:14" x14ac:dyDescent="0.25">
      <c r="C30">
        <f t="shared" si="0"/>
        <v>1.8369565217391306</v>
      </c>
      <c r="D30" t="e">
        <f t="shared" si="1"/>
        <v>#DIV/0!</v>
      </c>
      <c r="H30">
        <f t="shared" si="2"/>
        <v>1.7028985507246379</v>
      </c>
      <c r="I30" t="e">
        <f t="shared" si="2"/>
        <v>#DIV/0!</v>
      </c>
    </row>
    <row r="31" spans="1:14" x14ac:dyDescent="0.25">
      <c r="C31">
        <f t="shared" si="0"/>
        <v>1.1198910081743869</v>
      </c>
      <c r="D31" t="e">
        <f t="shared" si="1"/>
        <v>#DIV/0!</v>
      </c>
      <c r="H31">
        <f t="shared" si="2"/>
        <v>1.2343324250681198</v>
      </c>
      <c r="I31" t="e">
        <f t="shared" si="2"/>
        <v>#DIV/0!</v>
      </c>
    </row>
    <row r="35" spans="3:9" x14ac:dyDescent="0.25">
      <c r="C35">
        <f t="shared" si="0"/>
        <v>1.5627906976744186</v>
      </c>
      <c r="D35" t="e">
        <f t="shared" si="1"/>
        <v>#DIV/0!</v>
      </c>
      <c r="H35">
        <f t="shared" ref="H35:I37" si="3">N16/B16</f>
        <v>3.0697674418604652</v>
      </c>
      <c r="I35" t="e">
        <f t="shared" si="3"/>
        <v>#DIV/0!</v>
      </c>
    </row>
    <row r="36" spans="3:9" x14ac:dyDescent="0.25">
      <c r="C36">
        <f t="shared" si="0"/>
        <v>1.9475806451612903</v>
      </c>
      <c r="D36" t="e">
        <f t="shared" si="1"/>
        <v>#DIV/0!</v>
      </c>
      <c r="H36">
        <f t="shared" si="3"/>
        <v>3.721774193548387</v>
      </c>
      <c r="I36" t="e">
        <f t="shared" si="3"/>
        <v>#DIV/0!</v>
      </c>
    </row>
    <row r="37" spans="3:9" x14ac:dyDescent="0.25">
      <c r="C37">
        <f t="shared" si="0"/>
        <v>1.0708446866485013</v>
      </c>
      <c r="D37" t="e">
        <f t="shared" si="1"/>
        <v>#DIV/0!</v>
      </c>
      <c r="H37">
        <f t="shared" si="3"/>
        <v>1.7029972752043596</v>
      </c>
      <c r="I37" t="e">
        <f t="shared" si="3"/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1"/>
  <sheetViews>
    <sheetView topLeftCell="B1" workbookViewId="0">
      <selection activeCell="J17" sqref="J17:J19"/>
    </sheetView>
  </sheetViews>
  <sheetFormatPr defaultRowHeight="15" x14ac:dyDescent="0.25"/>
  <cols>
    <col min="2" max="2" width="20.42578125" bestFit="1" customWidth="1"/>
  </cols>
  <sheetData>
    <row r="2" spans="1:29" x14ac:dyDescent="0.25">
      <c r="S2" t="s">
        <v>14</v>
      </c>
    </row>
    <row r="3" spans="1:29" x14ac:dyDescent="0.25">
      <c r="A3" t="s">
        <v>16</v>
      </c>
      <c r="D3" t="s">
        <v>12</v>
      </c>
      <c r="E3" t="s">
        <v>13</v>
      </c>
      <c r="I3" t="s">
        <v>15</v>
      </c>
      <c r="N3" t="s">
        <v>19</v>
      </c>
      <c r="S3" t="s">
        <v>20</v>
      </c>
    </row>
    <row r="4" spans="1:29" x14ac:dyDescent="0.25">
      <c r="A4" t="s">
        <v>7</v>
      </c>
      <c r="B4" t="s">
        <v>4</v>
      </c>
      <c r="C4" t="s">
        <v>5</v>
      </c>
      <c r="D4" t="s">
        <v>6</v>
      </c>
      <c r="I4" t="s">
        <v>7</v>
      </c>
      <c r="J4" t="s">
        <v>4</v>
      </c>
      <c r="K4" t="s">
        <v>5</v>
      </c>
      <c r="L4" t="s">
        <v>6</v>
      </c>
      <c r="N4" t="s">
        <v>7</v>
      </c>
      <c r="O4" t="s">
        <v>4</v>
      </c>
      <c r="P4" t="s">
        <v>5</v>
      </c>
      <c r="Q4" t="s">
        <v>6</v>
      </c>
      <c r="S4" t="s">
        <v>7</v>
      </c>
      <c r="T4" t="s">
        <v>4</v>
      </c>
      <c r="U4" t="s">
        <v>5</v>
      </c>
      <c r="V4" t="s">
        <v>6</v>
      </c>
      <c r="X4" t="s">
        <v>7</v>
      </c>
      <c r="Y4" t="s">
        <v>4</v>
      </c>
      <c r="Z4" t="s">
        <v>5</v>
      </c>
      <c r="AA4" t="s">
        <v>6</v>
      </c>
    </row>
    <row r="5" spans="1:29" x14ac:dyDescent="0.25">
      <c r="A5" t="s">
        <v>1</v>
      </c>
      <c r="B5" t="s">
        <v>23</v>
      </c>
      <c r="D5">
        <v>4317</v>
      </c>
      <c r="I5" t="s">
        <v>1</v>
      </c>
      <c r="J5">
        <v>7579</v>
      </c>
      <c r="K5">
        <v>10719</v>
      </c>
      <c r="L5">
        <v>9628</v>
      </c>
      <c r="N5" t="s">
        <v>1</v>
      </c>
      <c r="O5">
        <v>5540</v>
      </c>
      <c r="P5">
        <v>7386</v>
      </c>
      <c r="S5" t="s">
        <v>1</v>
      </c>
      <c r="T5">
        <f>J5-O5</f>
        <v>2039</v>
      </c>
      <c r="U5">
        <f t="shared" ref="U5:V7" si="0">K5-P5</f>
        <v>3333</v>
      </c>
      <c r="V5">
        <f t="shared" si="0"/>
        <v>9628</v>
      </c>
      <c r="X5" t="s">
        <v>1</v>
      </c>
      <c r="Y5">
        <f>T5/J5*100</f>
        <v>26.903285393851434</v>
      </c>
      <c r="Z5">
        <f>U5/K5*100</f>
        <v>31.094318499860062</v>
      </c>
      <c r="AA5">
        <f t="shared" ref="AA5" si="1">V5/L5*100</f>
        <v>100</v>
      </c>
      <c r="AC5" t="e">
        <f>B5/J5*100</f>
        <v>#VALUE!</v>
      </c>
    </row>
    <row r="6" spans="1:29" x14ac:dyDescent="0.25">
      <c r="A6" t="s">
        <v>2</v>
      </c>
      <c r="D6">
        <v>7040</v>
      </c>
      <c r="I6" t="s">
        <v>2</v>
      </c>
      <c r="K6">
        <v>12994</v>
      </c>
      <c r="L6">
        <v>16851</v>
      </c>
      <c r="N6" t="s">
        <v>2</v>
      </c>
      <c r="P6">
        <v>8961</v>
      </c>
      <c r="S6" t="s">
        <v>2</v>
      </c>
      <c r="T6">
        <f t="shared" ref="T6:T7" si="2">J6-O6</f>
        <v>0</v>
      </c>
      <c r="U6">
        <f>K6-P6</f>
        <v>4033</v>
      </c>
      <c r="V6">
        <f t="shared" ref="V6:V7" si="3">L6-Q6</f>
        <v>16851</v>
      </c>
      <c r="X6" t="s">
        <v>2</v>
      </c>
      <c r="Y6" t="e">
        <f>T6/J6*100</f>
        <v>#DIV/0!</v>
      </c>
      <c r="Z6">
        <f t="shared" ref="Z6" si="4">U6/K6*100</f>
        <v>31.037401877789751</v>
      </c>
      <c r="AA6">
        <f t="shared" ref="AA6" si="5">V6/L6*100</f>
        <v>100</v>
      </c>
      <c r="AC6" t="e">
        <f t="shared" ref="AC6:AC7" si="6">B6/J6*100</f>
        <v>#DIV/0!</v>
      </c>
    </row>
    <row r="7" spans="1:29" x14ac:dyDescent="0.25">
      <c r="A7" t="s">
        <v>3</v>
      </c>
      <c r="D7">
        <v>7609</v>
      </c>
      <c r="I7" t="s">
        <v>3</v>
      </c>
      <c r="K7">
        <v>10159</v>
      </c>
      <c r="L7">
        <v>19913</v>
      </c>
      <c r="N7" t="s">
        <v>3</v>
      </c>
      <c r="P7">
        <v>6689</v>
      </c>
      <c r="S7" t="s">
        <v>3</v>
      </c>
      <c r="T7">
        <f t="shared" si="2"/>
        <v>0</v>
      </c>
      <c r="U7">
        <f t="shared" si="0"/>
        <v>3470</v>
      </c>
      <c r="V7">
        <f t="shared" si="3"/>
        <v>19913</v>
      </c>
      <c r="X7" t="s">
        <v>3</v>
      </c>
      <c r="Y7" t="e">
        <f t="shared" ref="Y7" si="7">T7/J7*100</f>
        <v>#DIV/0!</v>
      </c>
      <c r="Z7">
        <f>U7/K7*100</f>
        <v>34.156905207205433</v>
      </c>
      <c r="AA7">
        <f t="shared" ref="AA7" si="8">V7/L7*100</f>
        <v>100</v>
      </c>
      <c r="AC7" t="e">
        <f t="shared" si="6"/>
        <v>#DIV/0!</v>
      </c>
    </row>
    <row r="10" spans="1:29" x14ac:dyDescent="0.25">
      <c r="A10" t="s">
        <v>8</v>
      </c>
      <c r="B10" t="s">
        <v>4</v>
      </c>
      <c r="C10" t="s">
        <v>5</v>
      </c>
      <c r="D10" t="s">
        <v>6</v>
      </c>
      <c r="I10" t="s">
        <v>8</v>
      </c>
      <c r="J10" t="s">
        <v>4</v>
      </c>
      <c r="K10" t="s">
        <v>5</v>
      </c>
      <c r="L10" t="s">
        <v>6</v>
      </c>
      <c r="N10" t="s">
        <v>8</v>
      </c>
      <c r="O10" t="s">
        <v>4</v>
      </c>
      <c r="P10" t="s">
        <v>5</v>
      </c>
      <c r="Q10" t="s">
        <v>6</v>
      </c>
      <c r="S10" t="s">
        <v>8</v>
      </c>
      <c r="T10" t="s">
        <v>4</v>
      </c>
      <c r="U10" t="s">
        <v>5</v>
      </c>
      <c r="V10" t="s">
        <v>6</v>
      </c>
      <c r="X10" t="s">
        <v>8</v>
      </c>
      <c r="Y10" t="s">
        <v>4</v>
      </c>
      <c r="Z10" t="s">
        <v>5</v>
      </c>
      <c r="AA10" t="s">
        <v>6</v>
      </c>
    </row>
    <row r="11" spans="1:29" x14ac:dyDescent="0.25">
      <c r="A11" t="s">
        <v>1</v>
      </c>
      <c r="B11">
        <v>25105</v>
      </c>
      <c r="I11" t="s">
        <v>1</v>
      </c>
      <c r="J11">
        <v>45184</v>
      </c>
      <c r="N11" t="s">
        <v>1</v>
      </c>
      <c r="O11">
        <v>23206</v>
      </c>
      <c r="S11" t="s">
        <v>1</v>
      </c>
      <c r="T11">
        <f>J11-O11</f>
        <v>21978</v>
      </c>
      <c r="U11">
        <f t="shared" ref="U11" si="9">K11-P11</f>
        <v>0</v>
      </c>
      <c r="V11">
        <f t="shared" ref="V11:V13" si="10">L11-Q11</f>
        <v>0</v>
      </c>
      <c r="X11" t="s">
        <v>1</v>
      </c>
      <c r="Y11">
        <f>T11/J11*100</f>
        <v>48.641111898016995</v>
      </c>
      <c r="Z11" t="e">
        <f t="shared" ref="Z11:Z12" si="11">U11/K11*100</f>
        <v>#DIV/0!</v>
      </c>
      <c r="AA11" t="e">
        <f t="shared" ref="AA11:AA13" si="12">V11/L11*100</f>
        <v>#DIV/0!</v>
      </c>
      <c r="AC11">
        <f>B11/J11*100</f>
        <v>55.56170325779037</v>
      </c>
    </row>
    <row r="12" spans="1:29" x14ac:dyDescent="0.25">
      <c r="A12" t="s">
        <v>2</v>
      </c>
      <c r="B12">
        <v>14929</v>
      </c>
      <c r="I12" t="s">
        <v>2</v>
      </c>
      <c r="J12">
        <v>44037</v>
      </c>
      <c r="N12" t="s">
        <v>2</v>
      </c>
      <c r="O12">
        <v>23184</v>
      </c>
      <c r="S12" t="s">
        <v>2</v>
      </c>
      <c r="T12">
        <f t="shared" ref="T12:T13" si="13">J12-O12</f>
        <v>20853</v>
      </c>
      <c r="U12">
        <f>K12-P12</f>
        <v>0</v>
      </c>
      <c r="V12">
        <f t="shared" si="10"/>
        <v>0</v>
      </c>
      <c r="X12" t="s">
        <v>2</v>
      </c>
      <c r="Y12">
        <f>T12/J12*100</f>
        <v>47.353361945636621</v>
      </c>
      <c r="Z12" t="e">
        <f t="shared" si="11"/>
        <v>#DIV/0!</v>
      </c>
      <c r="AA12" t="e">
        <f t="shared" si="12"/>
        <v>#DIV/0!</v>
      </c>
      <c r="AC12">
        <f t="shared" ref="AC12:AC13" si="14">B12/J12*100</f>
        <v>33.90103776369871</v>
      </c>
    </row>
    <row r="13" spans="1:29" x14ac:dyDescent="0.25">
      <c r="A13" t="s">
        <v>3</v>
      </c>
      <c r="B13">
        <v>18566</v>
      </c>
      <c r="I13" t="s">
        <v>3</v>
      </c>
      <c r="J13">
        <v>48963</v>
      </c>
      <c r="N13" t="s">
        <v>3</v>
      </c>
      <c r="O13">
        <v>27042</v>
      </c>
      <c r="S13" t="s">
        <v>3</v>
      </c>
      <c r="T13">
        <f t="shared" si="13"/>
        <v>21921</v>
      </c>
      <c r="U13">
        <f t="shared" ref="U13" si="15">K13-P13</f>
        <v>0</v>
      </c>
      <c r="V13">
        <f t="shared" si="10"/>
        <v>0</v>
      </c>
      <c r="X13" t="s">
        <v>3</v>
      </c>
      <c r="Y13">
        <f t="shared" ref="Y13" si="16">T13/J13*100</f>
        <v>44.770541020770786</v>
      </c>
      <c r="Z13" t="e">
        <f>U13/K13*100</f>
        <v>#DIV/0!</v>
      </c>
      <c r="AA13" t="e">
        <f t="shared" si="12"/>
        <v>#DIV/0!</v>
      </c>
      <c r="AC13">
        <f t="shared" si="14"/>
        <v>37.918428200886382</v>
      </c>
    </row>
    <row r="16" spans="1:29" x14ac:dyDescent="0.25">
      <c r="A16" t="s">
        <v>9</v>
      </c>
      <c r="B16" t="s">
        <v>4</v>
      </c>
      <c r="C16" t="s">
        <v>5</v>
      </c>
      <c r="D16" t="s">
        <v>6</v>
      </c>
      <c r="I16" t="s">
        <v>9</v>
      </c>
      <c r="J16" t="s">
        <v>4</v>
      </c>
      <c r="K16" t="s">
        <v>5</v>
      </c>
      <c r="L16" t="s">
        <v>6</v>
      </c>
      <c r="N16" t="s">
        <v>9</v>
      </c>
      <c r="O16" t="s">
        <v>4</v>
      </c>
      <c r="P16" t="s">
        <v>5</v>
      </c>
      <c r="Q16" t="s">
        <v>6</v>
      </c>
      <c r="S16" t="s">
        <v>9</v>
      </c>
      <c r="T16" t="s">
        <v>4</v>
      </c>
      <c r="U16" t="s">
        <v>5</v>
      </c>
      <c r="V16" t="s">
        <v>6</v>
      </c>
      <c r="X16" t="s">
        <v>9</v>
      </c>
      <c r="Y16" t="s">
        <v>4</v>
      </c>
      <c r="Z16" t="s">
        <v>5</v>
      </c>
      <c r="AA16" t="s">
        <v>6</v>
      </c>
    </row>
    <row r="17" spans="1:29" x14ac:dyDescent="0.25">
      <c r="A17" t="s">
        <v>1</v>
      </c>
      <c r="B17">
        <v>8258</v>
      </c>
      <c r="I17" t="s">
        <v>1</v>
      </c>
      <c r="J17">
        <v>16757</v>
      </c>
      <c r="N17" t="s">
        <v>1</v>
      </c>
      <c r="O17">
        <v>9242</v>
      </c>
      <c r="S17" t="s">
        <v>1</v>
      </c>
      <c r="T17">
        <f>J17-O17</f>
        <v>7515</v>
      </c>
      <c r="U17">
        <f t="shared" ref="U17" si="17">K17-P17</f>
        <v>0</v>
      </c>
      <c r="V17">
        <f t="shared" ref="V17:V19" si="18">L17-Q17</f>
        <v>0</v>
      </c>
      <c r="X17" t="s">
        <v>1</v>
      </c>
      <c r="Y17">
        <f>T17/J17*100</f>
        <v>44.846929641343912</v>
      </c>
      <c r="Z17" t="e">
        <f t="shared" ref="Z17:Z18" si="19">U17/K17*100</f>
        <v>#DIV/0!</v>
      </c>
      <c r="AA17" t="e">
        <f t="shared" ref="AA17:AA19" si="20">V17/L17*100</f>
        <v>#DIV/0!</v>
      </c>
      <c r="AC17">
        <f>B17/J17*100</f>
        <v>49.280897535358356</v>
      </c>
    </row>
    <row r="18" spans="1:29" x14ac:dyDescent="0.25">
      <c r="A18" t="s">
        <v>2</v>
      </c>
      <c r="B18">
        <v>8334</v>
      </c>
      <c r="I18" t="s">
        <v>2</v>
      </c>
      <c r="J18">
        <v>22825</v>
      </c>
      <c r="N18" t="s">
        <v>2</v>
      </c>
      <c r="O18">
        <v>14058</v>
      </c>
      <c r="S18" t="s">
        <v>2</v>
      </c>
      <c r="T18">
        <f>J18-O18</f>
        <v>8767</v>
      </c>
      <c r="U18">
        <f>K18-P18</f>
        <v>0</v>
      </c>
      <c r="V18">
        <f t="shared" si="18"/>
        <v>0</v>
      </c>
      <c r="X18" t="s">
        <v>2</v>
      </c>
      <c r="Y18">
        <f>T18/J18*100</f>
        <v>38.409638554216869</v>
      </c>
      <c r="Z18" t="e">
        <f t="shared" si="19"/>
        <v>#DIV/0!</v>
      </c>
      <c r="AA18" t="e">
        <f t="shared" si="20"/>
        <v>#DIV/0!</v>
      </c>
      <c r="AC18">
        <f t="shared" ref="AC18:AC19" si="21">B18/J18*100</f>
        <v>36.512595837897045</v>
      </c>
    </row>
    <row r="19" spans="1:29" x14ac:dyDescent="0.25">
      <c r="A19" t="s">
        <v>3</v>
      </c>
      <c r="B19">
        <v>23687</v>
      </c>
      <c r="I19" t="s">
        <v>3</v>
      </c>
      <c r="J19">
        <v>44568</v>
      </c>
      <c r="N19" t="s">
        <v>3</v>
      </c>
      <c r="O19">
        <v>25806</v>
      </c>
      <c r="S19" t="s">
        <v>3</v>
      </c>
      <c r="T19">
        <f t="shared" ref="T19" si="22">J19-O19</f>
        <v>18762</v>
      </c>
      <c r="U19">
        <f t="shared" ref="U19" si="23">K19-P19</f>
        <v>0</v>
      </c>
      <c r="V19">
        <f t="shared" si="18"/>
        <v>0</v>
      </c>
      <c r="X19" t="s">
        <v>3</v>
      </c>
      <c r="Y19">
        <f t="shared" ref="Y19" si="24">T19/J19*100</f>
        <v>42.097469036079701</v>
      </c>
      <c r="Z19" t="e">
        <f>U19/K19*100</f>
        <v>#DIV/0!</v>
      </c>
      <c r="AA19" t="e">
        <f t="shared" si="20"/>
        <v>#DIV/0!</v>
      </c>
      <c r="AC19">
        <f t="shared" si="21"/>
        <v>53.147998563992104</v>
      </c>
    </row>
    <row r="25" spans="1:29" x14ac:dyDescent="0.25">
      <c r="A25" t="s">
        <v>41</v>
      </c>
      <c r="G25" t="s">
        <v>42</v>
      </c>
    </row>
    <row r="26" spans="1:29" x14ac:dyDescent="0.25">
      <c r="A26" t="s">
        <v>7</v>
      </c>
      <c r="B26" t="s">
        <v>4</v>
      </c>
      <c r="C26" t="s">
        <v>5</v>
      </c>
      <c r="D26" t="s">
        <v>6</v>
      </c>
      <c r="I26" t="s">
        <v>7</v>
      </c>
      <c r="J26" t="s">
        <v>4</v>
      </c>
      <c r="K26" t="s">
        <v>5</v>
      </c>
      <c r="L26" t="s">
        <v>6</v>
      </c>
    </row>
    <row r="27" spans="1:29" x14ac:dyDescent="0.25">
      <c r="A27" t="s">
        <v>1</v>
      </c>
      <c r="B27">
        <f>5.32*10^7</f>
        <v>53200000</v>
      </c>
      <c r="I27" t="s">
        <v>1</v>
      </c>
      <c r="L27">
        <f>D5/L5</f>
        <v>0.44837972579975072</v>
      </c>
    </row>
    <row r="28" spans="1:29" x14ac:dyDescent="0.25">
      <c r="A28" t="s">
        <v>2</v>
      </c>
      <c r="I28" t="s">
        <v>2</v>
      </c>
      <c r="L28">
        <f t="shared" ref="L28:L29" si="25">D6/L6</f>
        <v>0.41777936027535456</v>
      </c>
    </row>
    <row r="29" spans="1:29" x14ac:dyDescent="0.25">
      <c r="A29" t="s">
        <v>3</v>
      </c>
      <c r="I29" t="s">
        <v>3</v>
      </c>
      <c r="L29">
        <f t="shared" si="25"/>
        <v>0.38211218801787777</v>
      </c>
    </row>
    <row r="32" spans="1:29" x14ac:dyDescent="0.25">
      <c r="A32" t="s">
        <v>8</v>
      </c>
      <c r="B32" t="s">
        <v>4</v>
      </c>
      <c r="C32" t="s">
        <v>5</v>
      </c>
      <c r="D32" t="s">
        <v>6</v>
      </c>
      <c r="I32" t="s">
        <v>8</v>
      </c>
      <c r="J32" t="s">
        <v>4</v>
      </c>
      <c r="K32" t="s">
        <v>5</v>
      </c>
      <c r="L32" t="s">
        <v>6</v>
      </c>
    </row>
    <row r="33" spans="1:12" x14ac:dyDescent="0.25">
      <c r="A33" t="s">
        <v>1</v>
      </c>
      <c r="I33" t="s">
        <v>1</v>
      </c>
      <c r="J33">
        <f>B11/J11</f>
        <v>0.55561703257790374</v>
      </c>
    </row>
    <row r="34" spans="1:12" x14ac:dyDescent="0.25">
      <c r="A34" t="s">
        <v>2</v>
      </c>
      <c r="I34" t="s">
        <v>2</v>
      </c>
      <c r="J34">
        <f t="shared" ref="J34:J35" si="26">B12/J12</f>
        <v>0.3390103776369871</v>
      </c>
    </row>
    <row r="35" spans="1:12" x14ac:dyDescent="0.25">
      <c r="A35" t="s">
        <v>3</v>
      </c>
      <c r="I35" t="s">
        <v>3</v>
      </c>
      <c r="J35">
        <f t="shared" si="26"/>
        <v>0.37918428200886384</v>
      </c>
    </row>
    <row r="38" spans="1:12" x14ac:dyDescent="0.25">
      <c r="A38" t="s">
        <v>9</v>
      </c>
      <c r="B38" t="s">
        <v>4</v>
      </c>
      <c r="C38" t="s">
        <v>5</v>
      </c>
      <c r="D38" t="s">
        <v>6</v>
      </c>
      <c r="I38" t="s">
        <v>9</v>
      </c>
      <c r="J38" t="s">
        <v>4</v>
      </c>
      <c r="K38" t="s">
        <v>5</v>
      </c>
      <c r="L38" t="s">
        <v>6</v>
      </c>
    </row>
    <row r="39" spans="1:12" x14ac:dyDescent="0.25">
      <c r="A39" t="s">
        <v>1</v>
      </c>
      <c r="I39" t="s">
        <v>1</v>
      </c>
      <c r="J39">
        <f>B17/J17</f>
        <v>0.49280897535358359</v>
      </c>
    </row>
    <row r="40" spans="1:12" x14ac:dyDescent="0.25">
      <c r="A40" t="s">
        <v>2</v>
      </c>
      <c r="I40" t="s">
        <v>2</v>
      </c>
      <c r="J40">
        <f t="shared" ref="J40:J41" si="27">B18/J18</f>
        <v>0.36512595837897044</v>
      </c>
    </row>
    <row r="41" spans="1:12" x14ac:dyDescent="0.25">
      <c r="A41" t="s">
        <v>3</v>
      </c>
      <c r="I41" t="s">
        <v>3</v>
      </c>
      <c r="J41">
        <f t="shared" si="27"/>
        <v>0.53147998563992105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N1" workbookViewId="0">
      <selection activeCell="AG7" sqref="AG7:AI8"/>
    </sheetView>
  </sheetViews>
  <sheetFormatPr defaultRowHeight="15" x14ac:dyDescent="0.25"/>
  <cols>
    <col min="8" max="8" width="10" bestFit="1" customWidth="1"/>
  </cols>
  <sheetData>
    <row r="1" spans="1:35" x14ac:dyDescent="0.25">
      <c r="A1" t="s">
        <v>43</v>
      </c>
    </row>
    <row r="4" spans="1:35" x14ac:dyDescent="0.25">
      <c r="A4" t="s">
        <v>47</v>
      </c>
      <c r="B4" t="s">
        <v>49</v>
      </c>
      <c r="F4" t="s">
        <v>48</v>
      </c>
    </row>
    <row r="5" spans="1:35" x14ac:dyDescent="0.25">
      <c r="D5" t="s">
        <v>12</v>
      </c>
      <c r="N5" t="s">
        <v>12</v>
      </c>
      <c r="P5" t="s">
        <v>50</v>
      </c>
      <c r="V5" t="s">
        <v>52</v>
      </c>
      <c r="Z5" t="s">
        <v>51</v>
      </c>
    </row>
    <row r="6" spans="1:35" x14ac:dyDescent="0.25">
      <c r="A6" t="s">
        <v>7</v>
      </c>
      <c r="B6" t="s">
        <v>4</v>
      </c>
      <c r="C6" t="s">
        <v>5</v>
      </c>
      <c r="D6" t="s">
        <v>6</v>
      </c>
      <c r="F6" t="s">
        <v>7</v>
      </c>
      <c r="G6" t="s">
        <v>4</v>
      </c>
      <c r="H6" t="s">
        <v>5</v>
      </c>
      <c r="I6" t="s">
        <v>6</v>
      </c>
      <c r="K6" t="s">
        <v>7</v>
      </c>
      <c r="L6" t="s">
        <v>4</v>
      </c>
      <c r="M6" t="s">
        <v>5</v>
      </c>
      <c r="N6" t="s">
        <v>6</v>
      </c>
      <c r="P6" t="s">
        <v>7</v>
      </c>
      <c r="Q6" t="s">
        <v>4</v>
      </c>
      <c r="R6" t="s">
        <v>5</v>
      </c>
      <c r="S6" t="s">
        <v>6</v>
      </c>
      <c r="U6" t="s">
        <v>7</v>
      </c>
      <c r="V6" t="s">
        <v>4</v>
      </c>
      <c r="W6" t="s">
        <v>5</v>
      </c>
      <c r="X6" t="s">
        <v>6</v>
      </c>
      <c r="Z6" t="s">
        <v>7</v>
      </c>
      <c r="AA6" t="s">
        <v>4</v>
      </c>
      <c r="AB6" t="s">
        <v>5</v>
      </c>
      <c r="AC6" t="s">
        <v>6</v>
      </c>
      <c r="AF6" t="s">
        <v>7</v>
      </c>
      <c r="AG6" t="s">
        <v>4</v>
      </c>
      <c r="AH6" t="s">
        <v>5</v>
      </c>
      <c r="AI6" t="s">
        <v>6</v>
      </c>
    </row>
    <row r="7" spans="1:35" x14ac:dyDescent="0.25">
      <c r="A7" t="s">
        <v>1</v>
      </c>
      <c r="C7">
        <f>3.97*10^7</f>
        <v>39700000</v>
      </c>
      <c r="D7">
        <f>3.34*10^7</f>
        <v>33400000</v>
      </c>
      <c r="F7" t="s">
        <v>1</v>
      </c>
      <c r="H7">
        <f>6.46*10^7</f>
        <v>64600000</v>
      </c>
      <c r="I7">
        <f>5.87*10^7</f>
        <v>58700000</v>
      </c>
      <c r="K7" t="s">
        <v>1</v>
      </c>
      <c r="M7">
        <f>C7/H7</f>
        <v>0.61455108359133126</v>
      </c>
      <c r="N7">
        <f>D7/I7</f>
        <v>0.56899488926746167</v>
      </c>
      <c r="P7" t="s">
        <v>1</v>
      </c>
      <c r="R7">
        <v>1087</v>
      </c>
      <c r="U7" t="s">
        <v>1</v>
      </c>
      <c r="W7">
        <v>928</v>
      </c>
      <c r="X7">
        <v>480</v>
      </c>
      <c r="AB7">
        <v>7539</v>
      </c>
      <c r="AC7">
        <v>7703</v>
      </c>
      <c r="AH7">
        <f>W7/AB7</f>
        <v>0.12309324844143786</v>
      </c>
      <c r="AI7">
        <f>X7/AC7</f>
        <v>6.2313384395689994E-2</v>
      </c>
    </row>
    <row r="8" spans="1:35" x14ac:dyDescent="0.25">
      <c r="A8" t="s">
        <v>2</v>
      </c>
      <c r="B8" s="1">
        <f>5.67*10^7</f>
        <v>56700000</v>
      </c>
      <c r="E8">
        <v>3.61</v>
      </c>
      <c r="F8" t="s">
        <v>2</v>
      </c>
      <c r="G8" s="1">
        <f>1.14*10^8</f>
        <v>113999999.99999999</v>
      </c>
      <c r="K8" t="s">
        <v>2</v>
      </c>
      <c r="L8">
        <f>B8/G8</f>
        <v>0.49736842105263163</v>
      </c>
      <c r="P8" t="s">
        <v>2</v>
      </c>
      <c r="U8" t="s">
        <v>2</v>
      </c>
      <c r="V8">
        <v>332</v>
      </c>
      <c r="AA8">
        <v>11400</v>
      </c>
      <c r="AG8">
        <f>V8/AA8</f>
        <v>2.9122807017543859E-2</v>
      </c>
    </row>
    <row r="9" spans="1:35" x14ac:dyDescent="0.25">
      <c r="A9" t="s">
        <v>3</v>
      </c>
      <c r="F9" t="s">
        <v>3</v>
      </c>
      <c r="K9" t="s">
        <v>3</v>
      </c>
      <c r="P9" t="s">
        <v>3</v>
      </c>
      <c r="U9" t="s">
        <v>3</v>
      </c>
    </row>
    <row r="12" spans="1:35" x14ac:dyDescent="0.25">
      <c r="A12" t="s">
        <v>8</v>
      </c>
      <c r="B12" t="s">
        <v>4</v>
      </c>
      <c r="C12" t="s">
        <v>5</v>
      </c>
      <c r="D12" t="s">
        <v>6</v>
      </c>
      <c r="F12" t="s">
        <v>8</v>
      </c>
      <c r="G12" t="s">
        <v>4</v>
      </c>
      <c r="H12" t="s">
        <v>5</v>
      </c>
      <c r="I12" t="s">
        <v>6</v>
      </c>
      <c r="K12" t="s">
        <v>8</v>
      </c>
      <c r="L12" t="s">
        <v>4</v>
      </c>
      <c r="M12" t="s">
        <v>5</v>
      </c>
      <c r="N12" t="s">
        <v>6</v>
      </c>
      <c r="P12" t="s">
        <v>8</v>
      </c>
      <c r="Q12" t="s">
        <v>4</v>
      </c>
      <c r="R12" t="s">
        <v>5</v>
      </c>
      <c r="S12" t="s">
        <v>6</v>
      </c>
      <c r="U12" t="s">
        <v>8</v>
      </c>
      <c r="V12" t="s">
        <v>4</v>
      </c>
      <c r="W12" t="s">
        <v>5</v>
      </c>
      <c r="X12" t="s">
        <v>6</v>
      </c>
    </row>
    <row r="13" spans="1:35" x14ac:dyDescent="0.25">
      <c r="A13" t="s">
        <v>1</v>
      </c>
      <c r="F13" t="s">
        <v>1</v>
      </c>
      <c r="K13" t="s">
        <v>1</v>
      </c>
      <c r="P13" t="s">
        <v>1</v>
      </c>
      <c r="U13" t="s">
        <v>1</v>
      </c>
    </row>
    <row r="14" spans="1:35" x14ac:dyDescent="0.25">
      <c r="A14" t="s">
        <v>2</v>
      </c>
      <c r="F14" t="s">
        <v>2</v>
      </c>
      <c r="K14" t="s">
        <v>2</v>
      </c>
      <c r="P14" t="s">
        <v>2</v>
      </c>
      <c r="U14" t="s">
        <v>2</v>
      </c>
    </row>
    <row r="15" spans="1:35" x14ac:dyDescent="0.25">
      <c r="A15" t="s">
        <v>3</v>
      </c>
      <c r="F15" t="s">
        <v>3</v>
      </c>
      <c r="K15" t="s">
        <v>3</v>
      </c>
      <c r="P15" t="s">
        <v>3</v>
      </c>
      <c r="U15" t="s">
        <v>3</v>
      </c>
    </row>
    <row r="18" spans="1:24" x14ac:dyDescent="0.25">
      <c r="A18" t="s">
        <v>9</v>
      </c>
      <c r="B18" t="s">
        <v>4</v>
      </c>
      <c r="C18" t="s">
        <v>5</v>
      </c>
      <c r="D18" t="s">
        <v>6</v>
      </c>
      <c r="F18" t="s">
        <v>9</v>
      </c>
      <c r="G18" t="s">
        <v>4</v>
      </c>
      <c r="H18" t="s">
        <v>5</v>
      </c>
      <c r="I18" t="s">
        <v>6</v>
      </c>
      <c r="K18" t="s">
        <v>9</v>
      </c>
      <c r="L18" t="s">
        <v>4</v>
      </c>
      <c r="M18" t="s">
        <v>5</v>
      </c>
      <c r="N18" t="s">
        <v>6</v>
      </c>
      <c r="P18" t="s">
        <v>9</v>
      </c>
      <c r="Q18" t="s">
        <v>4</v>
      </c>
      <c r="R18" t="s">
        <v>5</v>
      </c>
      <c r="S18" t="s">
        <v>6</v>
      </c>
      <c r="U18" t="s">
        <v>9</v>
      </c>
      <c r="V18" t="s">
        <v>4</v>
      </c>
      <c r="W18" t="s">
        <v>5</v>
      </c>
      <c r="X18" t="s">
        <v>6</v>
      </c>
    </row>
    <row r="19" spans="1:24" x14ac:dyDescent="0.25">
      <c r="A19" t="s">
        <v>1</v>
      </c>
      <c r="F19" t="s">
        <v>1</v>
      </c>
      <c r="K19" t="s">
        <v>1</v>
      </c>
      <c r="P19" t="s">
        <v>1</v>
      </c>
      <c r="U19" t="s">
        <v>1</v>
      </c>
    </row>
    <row r="20" spans="1:24" x14ac:dyDescent="0.25">
      <c r="A20" t="s">
        <v>2</v>
      </c>
      <c r="F20" t="s">
        <v>2</v>
      </c>
      <c r="K20" t="s">
        <v>2</v>
      </c>
      <c r="P20" t="s">
        <v>2</v>
      </c>
      <c r="U20" t="s">
        <v>2</v>
      </c>
    </row>
    <row r="21" spans="1:24" x14ac:dyDescent="0.25">
      <c r="A21" t="s">
        <v>3</v>
      </c>
      <c r="F21" t="s">
        <v>3</v>
      </c>
      <c r="K21" t="s">
        <v>3</v>
      </c>
      <c r="P21" t="s">
        <v>3</v>
      </c>
      <c r="U21" t="s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abSelected="1" topLeftCell="B1" workbookViewId="0">
      <selection activeCell="Q22" sqref="Q22"/>
    </sheetView>
  </sheetViews>
  <sheetFormatPr defaultRowHeight="15" x14ac:dyDescent="0.25"/>
  <sheetData>
    <row r="2" spans="1:19" x14ac:dyDescent="0.25">
      <c r="A2" t="s">
        <v>22</v>
      </c>
      <c r="F2" t="s">
        <v>24</v>
      </c>
    </row>
    <row r="3" spans="1:19" x14ac:dyDescent="0.25">
      <c r="D3" t="s">
        <v>12</v>
      </c>
      <c r="K3" t="s">
        <v>19</v>
      </c>
      <c r="P3" t="s">
        <v>27</v>
      </c>
    </row>
    <row r="4" spans="1:19" x14ac:dyDescent="0.25">
      <c r="A4" t="s">
        <v>7</v>
      </c>
      <c r="B4" t="s">
        <v>4</v>
      </c>
      <c r="C4" t="s">
        <v>5</v>
      </c>
      <c r="D4" t="s">
        <v>6</v>
      </c>
      <c r="F4" t="s">
        <v>7</v>
      </c>
      <c r="G4" t="s">
        <v>4</v>
      </c>
      <c r="H4" t="s">
        <v>5</v>
      </c>
      <c r="I4" t="s">
        <v>6</v>
      </c>
      <c r="K4" t="s">
        <v>7</v>
      </c>
      <c r="L4" t="s">
        <v>4</v>
      </c>
      <c r="M4" t="s">
        <v>5</v>
      </c>
      <c r="N4" t="s">
        <v>6</v>
      </c>
      <c r="P4" t="s">
        <v>7</v>
      </c>
      <c r="Q4" t="s">
        <v>4</v>
      </c>
      <c r="R4" t="s">
        <v>5</v>
      </c>
      <c r="S4" t="s">
        <v>6</v>
      </c>
    </row>
    <row r="5" spans="1:19" x14ac:dyDescent="0.25">
      <c r="A5" t="s">
        <v>1</v>
      </c>
      <c r="B5">
        <v>7946</v>
      </c>
      <c r="C5">
        <v>4831</v>
      </c>
      <c r="F5" t="s">
        <v>1</v>
      </c>
      <c r="G5">
        <v>5201</v>
      </c>
      <c r="H5">
        <v>3174</v>
      </c>
      <c r="K5" t="s">
        <v>1</v>
      </c>
      <c r="L5">
        <v>5540</v>
      </c>
      <c r="M5">
        <v>7386</v>
      </c>
      <c r="P5" t="s">
        <v>1</v>
      </c>
      <c r="Q5">
        <f>G5/L5*100</f>
        <v>93.880866425992778</v>
      </c>
      <c r="R5">
        <f t="shared" ref="R5:S5" si="0">H5/M5*100</f>
        <v>42.973192526401299</v>
      </c>
      <c r="S5" t="e">
        <f t="shared" si="0"/>
        <v>#DIV/0!</v>
      </c>
    </row>
    <row r="6" spans="1:19" x14ac:dyDescent="0.25">
      <c r="A6" t="s">
        <v>2</v>
      </c>
      <c r="C6">
        <v>4102</v>
      </c>
      <c r="F6" t="s">
        <v>2</v>
      </c>
      <c r="H6">
        <v>3869</v>
      </c>
      <c r="K6" t="s">
        <v>2</v>
      </c>
      <c r="M6">
        <v>8961</v>
      </c>
      <c r="P6" t="s">
        <v>2</v>
      </c>
      <c r="Q6" t="e">
        <f t="shared" ref="Q6:Q7" si="1">G6/L6*100</f>
        <v>#DIV/0!</v>
      </c>
      <c r="R6">
        <f>H6/M6*100</f>
        <v>43.17598482312242</v>
      </c>
      <c r="S6" t="e">
        <f t="shared" ref="S6:S7" si="2">I6/N6*100</f>
        <v>#DIV/0!</v>
      </c>
    </row>
    <row r="7" spans="1:19" x14ac:dyDescent="0.25">
      <c r="A7" t="s">
        <v>3</v>
      </c>
      <c r="C7">
        <v>2839</v>
      </c>
      <c r="F7" t="s">
        <v>3</v>
      </c>
      <c r="H7">
        <v>2408</v>
      </c>
      <c r="K7" t="s">
        <v>3</v>
      </c>
      <c r="M7">
        <v>6689</v>
      </c>
      <c r="P7" t="s">
        <v>3</v>
      </c>
      <c r="Q7" t="e">
        <f t="shared" si="1"/>
        <v>#DIV/0!</v>
      </c>
      <c r="R7">
        <f t="shared" ref="R7" si="3">H7/M7*100</f>
        <v>35.999402003288985</v>
      </c>
      <c r="S7" t="e">
        <f t="shared" si="2"/>
        <v>#DIV/0!</v>
      </c>
    </row>
    <row r="10" spans="1:19" x14ac:dyDescent="0.25">
      <c r="A10" t="s">
        <v>8</v>
      </c>
      <c r="B10" t="s">
        <v>4</v>
      </c>
      <c r="C10" t="s">
        <v>5</v>
      </c>
      <c r="D10" t="s">
        <v>6</v>
      </c>
      <c r="F10" t="s">
        <v>8</v>
      </c>
      <c r="G10" t="s">
        <v>4</v>
      </c>
      <c r="H10" t="s">
        <v>5</v>
      </c>
      <c r="I10" t="s">
        <v>6</v>
      </c>
      <c r="K10" t="s">
        <v>8</v>
      </c>
      <c r="L10" t="s">
        <v>4</v>
      </c>
      <c r="M10" t="s">
        <v>5</v>
      </c>
      <c r="N10" t="s">
        <v>6</v>
      </c>
      <c r="P10" t="s">
        <v>8</v>
      </c>
      <c r="Q10" t="s">
        <v>4</v>
      </c>
      <c r="R10" t="s">
        <v>5</v>
      </c>
      <c r="S10" t="s">
        <v>6</v>
      </c>
    </row>
    <row r="11" spans="1:19" x14ac:dyDescent="0.25">
      <c r="A11" t="s">
        <v>1</v>
      </c>
      <c r="B11">
        <v>12995</v>
      </c>
      <c r="F11" t="s">
        <v>1</v>
      </c>
      <c r="G11">
        <v>12780</v>
      </c>
      <c r="K11" t="s">
        <v>1</v>
      </c>
      <c r="L11">
        <v>23206</v>
      </c>
      <c r="P11" t="s">
        <v>1</v>
      </c>
      <c r="Q11">
        <f>G11/L11*100</f>
        <v>55.07196414720331</v>
      </c>
      <c r="R11" t="e">
        <f t="shared" ref="R11:R13" si="4">H11/M11*100</f>
        <v>#DIV/0!</v>
      </c>
      <c r="S11" t="e">
        <f t="shared" ref="S11:S13" si="5">I11/N11*100</f>
        <v>#DIV/0!</v>
      </c>
    </row>
    <row r="12" spans="1:19" x14ac:dyDescent="0.25">
      <c r="A12" t="s">
        <v>2</v>
      </c>
      <c r="B12">
        <v>26277</v>
      </c>
      <c r="F12" t="s">
        <v>2</v>
      </c>
      <c r="G12">
        <v>22714</v>
      </c>
      <c r="K12" t="s">
        <v>2</v>
      </c>
      <c r="L12">
        <v>23184</v>
      </c>
      <c r="P12" t="s">
        <v>2</v>
      </c>
      <c r="Q12">
        <f t="shared" ref="Q12:Q13" si="6">G12/L12*100</f>
        <v>97.97273982056592</v>
      </c>
      <c r="R12" t="e">
        <f t="shared" si="4"/>
        <v>#DIV/0!</v>
      </c>
      <c r="S12" t="e">
        <f t="shared" si="5"/>
        <v>#DIV/0!</v>
      </c>
    </row>
    <row r="13" spans="1:19" x14ac:dyDescent="0.25">
      <c r="A13" t="s">
        <v>3</v>
      </c>
      <c r="B13">
        <v>11433</v>
      </c>
      <c r="F13" t="s">
        <v>3</v>
      </c>
      <c r="G13">
        <v>10994</v>
      </c>
      <c r="K13" t="s">
        <v>3</v>
      </c>
      <c r="L13">
        <v>27042</v>
      </c>
      <c r="P13" t="s">
        <v>3</v>
      </c>
      <c r="Q13">
        <f t="shared" si="6"/>
        <v>40.655276976554987</v>
      </c>
      <c r="R13" t="e">
        <f t="shared" si="4"/>
        <v>#DIV/0!</v>
      </c>
      <c r="S13" t="e">
        <f t="shared" si="5"/>
        <v>#DIV/0!</v>
      </c>
    </row>
    <row r="16" spans="1:19" x14ac:dyDescent="0.25">
      <c r="A16" t="s">
        <v>9</v>
      </c>
      <c r="B16" t="s">
        <v>4</v>
      </c>
      <c r="C16" t="s">
        <v>5</v>
      </c>
      <c r="D16" t="s">
        <v>6</v>
      </c>
      <c r="F16" t="s">
        <v>9</v>
      </c>
      <c r="G16" t="s">
        <v>4</v>
      </c>
      <c r="H16" t="s">
        <v>5</v>
      </c>
      <c r="I16" t="s">
        <v>6</v>
      </c>
      <c r="K16" t="s">
        <v>9</v>
      </c>
      <c r="L16" t="s">
        <v>4</v>
      </c>
      <c r="M16" t="s">
        <v>5</v>
      </c>
      <c r="N16" t="s">
        <v>6</v>
      </c>
      <c r="P16" t="s">
        <v>9</v>
      </c>
      <c r="Q16" t="s">
        <v>4</v>
      </c>
      <c r="R16" t="s">
        <v>5</v>
      </c>
      <c r="S16" t="s">
        <v>6</v>
      </c>
    </row>
    <row r="17" spans="1:19" x14ac:dyDescent="0.25">
      <c r="A17" t="s">
        <v>1</v>
      </c>
      <c r="B17">
        <v>6734</v>
      </c>
      <c r="F17" t="s">
        <v>1</v>
      </c>
      <c r="G17">
        <v>6515</v>
      </c>
      <c r="K17" t="s">
        <v>1</v>
      </c>
      <c r="L17">
        <v>9242</v>
      </c>
      <c r="P17" t="s">
        <v>1</v>
      </c>
      <c r="Q17">
        <f>G17/L17*100</f>
        <v>70.493399697035272</v>
      </c>
      <c r="R17" t="e">
        <f t="shared" ref="R17:R19" si="7">H17/M17*100</f>
        <v>#DIV/0!</v>
      </c>
      <c r="S17" t="e">
        <f t="shared" ref="S17:S19" si="8">I17/N17*100</f>
        <v>#DIV/0!</v>
      </c>
    </row>
    <row r="18" spans="1:19" x14ac:dyDescent="0.25">
      <c r="A18" t="s">
        <v>2</v>
      </c>
      <c r="B18">
        <v>14273</v>
      </c>
      <c r="F18" t="s">
        <v>2</v>
      </c>
      <c r="G18">
        <v>12777</v>
      </c>
      <c r="K18" t="s">
        <v>2</v>
      </c>
      <c r="L18">
        <v>14058</v>
      </c>
      <c r="P18" t="s">
        <v>2</v>
      </c>
      <c r="Q18">
        <f t="shared" ref="Q18:Q19" si="9">G18/L18*100</f>
        <v>90.887750746905667</v>
      </c>
      <c r="R18" t="e">
        <f t="shared" si="7"/>
        <v>#DIV/0!</v>
      </c>
      <c r="S18" t="e">
        <f t="shared" si="8"/>
        <v>#DIV/0!</v>
      </c>
    </row>
    <row r="19" spans="1:19" x14ac:dyDescent="0.25">
      <c r="A19" t="s">
        <v>3</v>
      </c>
      <c r="B19">
        <v>9974</v>
      </c>
      <c r="F19" t="s">
        <v>3</v>
      </c>
      <c r="G19">
        <v>9326</v>
      </c>
      <c r="K19" t="s">
        <v>3</v>
      </c>
      <c r="L19">
        <v>25806</v>
      </c>
      <c r="P19" t="s">
        <v>3</v>
      </c>
      <c r="Q19">
        <f t="shared" si="9"/>
        <v>36.138882430442528</v>
      </c>
      <c r="R19" t="e">
        <f t="shared" si="7"/>
        <v>#DIV/0!</v>
      </c>
      <c r="S19" t="e">
        <f t="shared" si="8"/>
        <v>#DIV/0!</v>
      </c>
    </row>
    <row r="24" spans="1:19" x14ac:dyDescent="0.25">
      <c r="B24">
        <f>B5/L5</f>
        <v>1.4342960288808664</v>
      </c>
      <c r="C24">
        <f>B5/G26</f>
        <v>1.0484232748383693</v>
      </c>
      <c r="F24" t="s">
        <v>15</v>
      </c>
    </row>
    <row r="25" spans="1:19" x14ac:dyDescent="0.25">
      <c r="F25" t="s">
        <v>7</v>
      </c>
      <c r="G25" t="s">
        <v>4</v>
      </c>
      <c r="H25" t="s">
        <v>5</v>
      </c>
      <c r="I25" t="s">
        <v>6</v>
      </c>
    </row>
    <row r="26" spans="1:19" x14ac:dyDescent="0.25">
      <c r="F26" t="s">
        <v>1</v>
      </c>
      <c r="G26">
        <v>7579</v>
      </c>
      <c r="H26">
        <v>10719</v>
      </c>
      <c r="I26">
        <v>9628</v>
      </c>
    </row>
    <row r="27" spans="1:19" x14ac:dyDescent="0.25">
      <c r="F27" t="s">
        <v>2</v>
      </c>
      <c r="H27">
        <v>12994</v>
      </c>
      <c r="I27">
        <v>16851</v>
      </c>
    </row>
    <row r="28" spans="1:19" x14ac:dyDescent="0.25">
      <c r="F28" t="s">
        <v>3</v>
      </c>
      <c r="H28">
        <v>10159</v>
      </c>
      <c r="I28">
        <v>19913</v>
      </c>
    </row>
    <row r="31" spans="1:19" x14ac:dyDescent="0.25">
      <c r="F31" t="s">
        <v>8</v>
      </c>
      <c r="G31" t="s">
        <v>4</v>
      </c>
      <c r="H31" t="s">
        <v>5</v>
      </c>
      <c r="I31" t="s">
        <v>6</v>
      </c>
    </row>
    <row r="32" spans="1:19" x14ac:dyDescent="0.25">
      <c r="F32" t="s">
        <v>1</v>
      </c>
      <c r="G32">
        <v>45184</v>
      </c>
    </row>
    <row r="33" spans="6:9" x14ac:dyDescent="0.25">
      <c r="F33" t="s">
        <v>2</v>
      </c>
      <c r="G33">
        <v>44037</v>
      </c>
    </row>
    <row r="34" spans="6:9" x14ac:dyDescent="0.25">
      <c r="F34" t="s">
        <v>3</v>
      </c>
      <c r="G34">
        <v>48963</v>
      </c>
    </row>
    <row r="37" spans="6:9" x14ac:dyDescent="0.25">
      <c r="F37" t="s">
        <v>9</v>
      </c>
      <c r="G37" t="s">
        <v>4</v>
      </c>
      <c r="H37" t="s">
        <v>5</v>
      </c>
      <c r="I37" t="s">
        <v>6</v>
      </c>
    </row>
    <row r="38" spans="6:9" x14ac:dyDescent="0.25">
      <c r="F38" t="s">
        <v>1</v>
      </c>
      <c r="G38">
        <v>16757</v>
      </c>
    </row>
    <row r="39" spans="6:9" x14ac:dyDescent="0.25">
      <c r="F39" t="s">
        <v>2</v>
      </c>
      <c r="G39">
        <v>22825</v>
      </c>
    </row>
    <row r="40" spans="6:9" x14ac:dyDescent="0.25">
      <c r="F40" t="s">
        <v>3</v>
      </c>
      <c r="G40">
        <v>44568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</vt:lpstr>
      <vt:lpstr>Sheet2</vt:lpstr>
      <vt:lpstr>pyk</vt:lpstr>
      <vt:lpstr>girk</vt:lpstr>
      <vt:lpstr>foxa2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NICKELS</dc:creator>
  <cp:lastModifiedBy>Alise ZAGARE</cp:lastModifiedBy>
  <dcterms:created xsi:type="dcterms:W3CDTF">2019-01-11T13:18:51Z</dcterms:created>
  <dcterms:modified xsi:type="dcterms:W3CDTF">2020-02-05T12:57:48Z</dcterms:modified>
</cp:coreProperties>
</file>