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ostdoc\Project Brainoid\Experiments\cyrotox\"/>
    </mc:Choice>
  </mc:AlternateContent>
  <bookViews>
    <workbookView xWindow="0" yWindow="0" windowWidth="28800" windowHeight="13635"/>
  </bookViews>
  <sheets>
    <sheet name="6ohda" sheetId="1" r:id="rId1"/>
    <sheet name="rotenon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F4" i="2"/>
  <c r="E4" i="2"/>
  <c r="C9" i="2"/>
  <c r="J8" i="2"/>
  <c r="E8" i="2"/>
  <c r="H8" i="2"/>
  <c r="D3" i="2"/>
  <c r="C3" i="2"/>
  <c r="C8" i="2" s="1"/>
  <c r="K3" i="2"/>
  <c r="I3" i="2"/>
  <c r="J3" i="2"/>
  <c r="H3" i="2"/>
  <c r="E3" i="2"/>
  <c r="F3" i="2"/>
  <c r="K21" i="1"/>
  <c r="C29" i="1"/>
  <c r="C28" i="1"/>
  <c r="K24" i="1"/>
  <c r="K23" i="1"/>
  <c r="K22" i="1"/>
  <c r="K9" i="1"/>
  <c r="D35" i="1"/>
  <c r="D36" i="1"/>
  <c r="D37" i="1"/>
  <c r="D38" i="1"/>
  <c r="D34" i="1"/>
  <c r="C35" i="1"/>
  <c r="C36" i="1"/>
  <c r="C37" i="1"/>
  <c r="C38" i="1"/>
  <c r="C34" i="1"/>
  <c r="B35" i="1"/>
  <c r="B36" i="1"/>
  <c r="B37" i="1"/>
  <c r="B38" i="1"/>
  <c r="B34" i="1"/>
  <c r="M12" i="1"/>
  <c r="D29" i="1"/>
  <c r="D30" i="1"/>
  <c r="D31" i="1"/>
  <c r="D32" i="1"/>
  <c r="D28" i="1"/>
  <c r="C30" i="1"/>
  <c r="C31" i="1"/>
  <c r="B29" i="1"/>
  <c r="B30" i="1"/>
  <c r="B31" i="1"/>
  <c r="B32" i="1"/>
  <c r="B28" i="1"/>
  <c r="K43" i="1"/>
  <c r="K44" i="1"/>
  <c r="K42" i="1"/>
  <c r="K41" i="1"/>
  <c r="M45" i="1"/>
  <c r="K45" i="1"/>
  <c r="L42" i="1"/>
  <c r="M42" i="1"/>
  <c r="L43" i="1"/>
  <c r="M43" i="1"/>
  <c r="L44" i="1"/>
  <c r="M44" i="1"/>
  <c r="L45" i="1"/>
  <c r="M41" i="1"/>
  <c r="L41" i="1"/>
  <c r="L18" i="1"/>
  <c r="M22" i="1"/>
  <c r="L32" i="1"/>
  <c r="L17" i="1"/>
  <c r="L20" i="1"/>
  <c r="L36" i="1" l="1"/>
  <c r="M36" i="1"/>
  <c r="N36" i="1"/>
  <c r="K36" i="1"/>
  <c r="N35" i="1"/>
  <c r="L35" i="1"/>
  <c r="M35" i="1"/>
  <c r="K35" i="1"/>
  <c r="L34" i="1"/>
  <c r="N34" i="1"/>
  <c r="M34" i="1"/>
  <c r="K34" i="1"/>
  <c r="L33" i="1"/>
  <c r="N33" i="1"/>
  <c r="M33" i="1"/>
  <c r="K33" i="1"/>
  <c r="N32" i="1"/>
  <c r="M32" i="1"/>
  <c r="K32" i="1"/>
  <c r="M7" i="1"/>
  <c r="K7" i="1"/>
  <c r="L7" i="1"/>
  <c r="N7" i="1"/>
  <c r="K20" i="1" l="1"/>
  <c r="N12" i="1"/>
  <c r="L12" i="1"/>
  <c r="K12" i="1"/>
  <c r="N11" i="1"/>
  <c r="L11" i="1"/>
  <c r="M11" i="1"/>
  <c r="K11" i="1"/>
  <c r="N6" i="1"/>
  <c r="L6" i="1"/>
  <c r="M6" i="1"/>
  <c r="K6" i="1"/>
  <c r="M9" i="1" l="1"/>
  <c r="L9" i="1" l="1"/>
  <c r="N9" i="1"/>
  <c r="L4" i="1"/>
  <c r="N4" i="1"/>
  <c r="M4" i="1"/>
  <c r="K4" i="1"/>
  <c r="L10" i="1"/>
  <c r="N10" i="1"/>
  <c r="M10" i="1"/>
  <c r="K8" i="1"/>
  <c r="M5" i="1"/>
  <c r="L5" i="1"/>
  <c r="N5" i="1"/>
  <c r="K5" i="1" l="1"/>
  <c r="K10" i="1"/>
  <c r="L8" i="1"/>
  <c r="M8" i="1"/>
  <c r="N8" i="1"/>
  <c r="L3" i="1"/>
  <c r="L15" i="1" s="1"/>
  <c r="K15" i="1"/>
  <c r="N24" i="1"/>
  <c r="M24" i="1"/>
  <c r="L24" i="1"/>
  <c r="N23" i="1"/>
  <c r="M23" i="1"/>
  <c r="L23" i="1"/>
  <c r="N22" i="1"/>
  <c r="L22" i="1"/>
  <c r="N21" i="1"/>
  <c r="M21" i="1"/>
  <c r="L21" i="1"/>
  <c r="N19" i="1"/>
  <c r="M19" i="1"/>
  <c r="L19" i="1"/>
  <c r="K19" i="1"/>
  <c r="N18" i="1"/>
  <c r="M18" i="1"/>
  <c r="K18" i="1"/>
  <c r="N17" i="1"/>
  <c r="M17" i="1"/>
  <c r="K17" i="1"/>
  <c r="N16" i="1"/>
  <c r="M16" i="1"/>
  <c r="L16" i="1"/>
  <c r="K16" i="1"/>
  <c r="N15" i="1"/>
  <c r="M15" i="1"/>
  <c r="D16" i="1"/>
  <c r="B16" i="1"/>
  <c r="C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E15" i="1"/>
  <c r="D15" i="1"/>
  <c r="C15" i="1"/>
  <c r="B15" i="1"/>
  <c r="M3" i="1"/>
  <c r="N3" i="1"/>
  <c r="K3" i="1"/>
  <c r="M20" i="1" l="1"/>
  <c r="N20" i="1"/>
  <c r="B72" i="1"/>
  <c r="C71" i="1"/>
  <c r="D71" i="1"/>
  <c r="B71" i="1"/>
  <c r="E71" i="1"/>
  <c r="D9" i="1"/>
  <c r="C9" i="1"/>
  <c r="E9" i="1"/>
  <c r="B9" i="1"/>
  <c r="E4" i="1"/>
  <c r="D4" i="1"/>
  <c r="C4" i="1"/>
  <c r="B4" i="1" l="1"/>
  <c r="D8" i="1"/>
  <c r="C8" i="1"/>
  <c r="E8" i="1"/>
  <c r="B8" i="1"/>
  <c r="E11" i="1" l="1"/>
  <c r="D11" i="1"/>
  <c r="C11" i="1"/>
  <c r="B11" i="1"/>
  <c r="B12" i="1"/>
  <c r="C12" i="1"/>
  <c r="D12" i="1"/>
  <c r="E12" i="1"/>
  <c r="E6" i="1" l="1"/>
  <c r="C6" i="1"/>
  <c r="D6" i="1"/>
  <c r="B6" i="1"/>
  <c r="E10" i="1"/>
  <c r="C10" i="1"/>
  <c r="D10" i="1"/>
  <c r="B10" i="1"/>
  <c r="E5" i="1"/>
  <c r="C5" i="1"/>
  <c r="D5" i="1"/>
  <c r="B5" i="1"/>
  <c r="D7" i="1" l="1"/>
  <c r="B7" i="1"/>
  <c r="C7" i="1"/>
  <c r="C3" i="1"/>
  <c r="E7" i="1"/>
  <c r="C51" i="1" s="1"/>
  <c r="B65" i="1"/>
  <c r="B50" i="1"/>
  <c r="B43" i="1"/>
  <c r="E3" i="1"/>
  <c r="D3" i="1"/>
  <c r="C65" i="1" s="1"/>
  <c r="B3" i="1"/>
  <c r="C50" i="1" l="1"/>
  <c r="B51" i="1"/>
</calcChain>
</file>

<file path=xl/sharedStrings.xml><?xml version="1.0" encoding="utf-8"?>
<sst xmlns="http://schemas.openxmlformats.org/spreadsheetml/2006/main" count="119" uniqueCount="31">
  <si>
    <t>CTRL</t>
  </si>
  <si>
    <t>TH</t>
  </si>
  <si>
    <t>GFAP</t>
  </si>
  <si>
    <t>TUJ1</t>
  </si>
  <si>
    <t>Hoechst</t>
  </si>
  <si>
    <t>B CTRL</t>
  </si>
  <si>
    <t>B 175</t>
  </si>
  <si>
    <t>B 150</t>
  </si>
  <si>
    <t>B 100</t>
  </si>
  <si>
    <t>B 50</t>
  </si>
  <si>
    <t>GFAP/Hoechst</t>
  </si>
  <si>
    <t>TH/TUJ1</t>
  </si>
  <si>
    <t>same treshold th tuj1</t>
  </si>
  <si>
    <t>B 175 AUTO TH</t>
  </si>
  <si>
    <t>B 100 AUTO</t>
  </si>
  <si>
    <t>B150 AUTO</t>
  </si>
  <si>
    <t>B CTRL AUTO</t>
  </si>
  <si>
    <t>B50</t>
  </si>
  <si>
    <t>B 50 auto</t>
  </si>
  <si>
    <t xml:space="preserve">B CTRL </t>
  </si>
  <si>
    <t>rot 10a</t>
  </si>
  <si>
    <t>dmso 10a</t>
  </si>
  <si>
    <t>k7</t>
  </si>
  <si>
    <t>t12</t>
  </si>
  <si>
    <t>rotenone</t>
  </si>
  <si>
    <t>dmso</t>
  </si>
  <si>
    <t>th</t>
  </si>
  <si>
    <t>tuj1</t>
  </si>
  <si>
    <t>gfap</t>
  </si>
  <si>
    <t>hoechst</t>
  </si>
  <si>
    <t>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</si>
</sst>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5128252081191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02547964641118E-2"/>
          <c:y val="0.14289857581238877"/>
          <c:w val="0.90245833149010735"/>
          <c:h val="0.8145743580218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'6ohda'!$B$2</c:f>
              <c:strCache>
                <c:ptCount val="1"/>
                <c:pt idx="0">
                  <c:v>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'6ohda'!$A$3:$A$12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'6ohda'!$B$3:$B$12</c:f>
              <c:numCache>
                <c:formatCode>General</c:formatCode>
                <c:ptCount val="10"/>
                <c:pt idx="0">
                  <c:v>12500000</c:v>
                </c:pt>
                <c:pt idx="1">
                  <c:v>1350000</c:v>
                </c:pt>
                <c:pt idx="2">
                  <c:v>3640000</c:v>
                </c:pt>
                <c:pt idx="3">
                  <c:v>90200</c:v>
                </c:pt>
                <c:pt idx="4">
                  <c:v>51000</c:v>
                </c:pt>
                <c:pt idx="5">
                  <c:v>27799999.999999996</c:v>
                </c:pt>
                <c:pt idx="6">
                  <c:v>24300000</c:v>
                </c:pt>
                <c:pt idx="7">
                  <c:v>9000000</c:v>
                </c:pt>
                <c:pt idx="8">
                  <c:v>5050000</c:v>
                </c:pt>
                <c:pt idx="9">
                  <c:v>4960000</c:v>
                </c:pt>
              </c:numCache>
            </c:numRef>
          </c:val>
        </c:ser>
        <c:ser>
          <c:idx val="1"/>
          <c:order val="1"/>
          <c:tx>
            <c:strRef>
              <c:f>'6ohda'!$C$2</c:f>
              <c:strCache>
                <c:ptCount val="1"/>
                <c:pt idx="0">
                  <c:v>GFAP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'6ohda'!$A$3:$A$12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'6ohda'!$C$3:$C$12</c:f>
              <c:numCache>
                <c:formatCode>General</c:formatCode>
                <c:ptCount val="10"/>
                <c:pt idx="0">
                  <c:v>835000</c:v>
                </c:pt>
                <c:pt idx="1">
                  <c:v>634000</c:v>
                </c:pt>
                <c:pt idx="2">
                  <c:v>313000</c:v>
                </c:pt>
                <c:pt idx="3">
                  <c:v>202000</c:v>
                </c:pt>
                <c:pt idx="4">
                  <c:v>83800.000000000015</c:v>
                </c:pt>
                <c:pt idx="5">
                  <c:v>3510000</c:v>
                </c:pt>
                <c:pt idx="6">
                  <c:v>3530000</c:v>
                </c:pt>
                <c:pt idx="7">
                  <c:v>2060000</c:v>
                </c:pt>
                <c:pt idx="8">
                  <c:v>2200000</c:v>
                </c:pt>
                <c:pt idx="9">
                  <c:v>1080000</c:v>
                </c:pt>
              </c:numCache>
            </c:numRef>
          </c:val>
        </c:ser>
        <c:ser>
          <c:idx val="2"/>
          <c:order val="2"/>
          <c:tx>
            <c:strRef>
              <c:f>'6ohda'!$D$2</c:f>
              <c:strCache>
                <c:ptCount val="1"/>
                <c:pt idx="0">
                  <c:v>TUJ1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'6ohda'!$A$3:$A$12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'6ohda'!$D$3:$D$12</c:f>
              <c:numCache>
                <c:formatCode>General</c:formatCode>
                <c:ptCount val="10"/>
                <c:pt idx="0">
                  <c:v>21100000</c:v>
                </c:pt>
                <c:pt idx="1">
                  <c:v>2280000</c:v>
                </c:pt>
                <c:pt idx="2">
                  <c:v>6650000</c:v>
                </c:pt>
                <c:pt idx="3">
                  <c:v>3080000</c:v>
                </c:pt>
                <c:pt idx="4">
                  <c:v>2270000</c:v>
                </c:pt>
                <c:pt idx="5">
                  <c:v>19100000</c:v>
                </c:pt>
                <c:pt idx="6">
                  <c:v>21600000</c:v>
                </c:pt>
                <c:pt idx="7">
                  <c:v>16399999.999999998</c:v>
                </c:pt>
                <c:pt idx="8">
                  <c:v>12100000</c:v>
                </c:pt>
                <c:pt idx="9">
                  <c:v>11600000</c:v>
                </c:pt>
              </c:numCache>
            </c:numRef>
          </c:val>
        </c:ser>
        <c:ser>
          <c:idx val="3"/>
          <c:order val="3"/>
          <c:tx>
            <c:strRef>
              <c:f>'6ohda'!$E$2</c:f>
              <c:strCache>
                <c:ptCount val="1"/>
                <c:pt idx="0">
                  <c:v>Hoechst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'6ohda'!$A$3:$A$12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'6ohda'!$E$3:$E$12</c:f>
              <c:numCache>
                <c:formatCode>General</c:formatCode>
                <c:ptCount val="10"/>
                <c:pt idx="0">
                  <c:v>4690000</c:v>
                </c:pt>
                <c:pt idx="1">
                  <c:v>2280000</c:v>
                </c:pt>
                <c:pt idx="2">
                  <c:v>2009999.9999999998</c:v>
                </c:pt>
                <c:pt idx="3">
                  <c:v>396000</c:v>
                </c:pt>
                <c:pt idx="4">
                  <c:v>878999.99999999988</c:v>
                </c:pt>
                <c:pt idx="5">
                  <c:v>7520000</c:v>
                </c:pt>
                <c:pt idx="6">
                  <c:v>7860000</c:v>
                </c:pt>
                <c:pt idx="7">
                  <c:v>5770000</c:v>
                </c:pt>
                <c:pt idx="8">
                  <c:v>3770000</c:v>
                </c:pt>
                <c:pt idx="9">
                  <c:v>4510000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358752"/>
        <c:axId val="382359312"/>
      </c:barChart>
      <c:catAx>
        <c:axId val="3823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59312"/>
        <c:crosses val="autoZero"/>
        <c:auto val="1"/>
        <c:lblAlgn val="ctr"/>
        <c:lblOffset val="100"/>
        <c:noMultiLvlLbl val="0"/>
      </c:catAx>
      <c:valAx>
        <c:axId val="3823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'6ohda'!$A$71</c:f>
              <c:strCache>
                <c:ptCount val="1"/>
                <c:pt idx="0">
                  <c:v>rot 10a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'6ohda'!$B$70:$E$70</c:f>
              <c:strCache>
                <c:ptCount val="4"/>
                <c:pt idx="0">
                  <c:v>TH</c:v>
                </c:pt>
                <c:pt idx="1">
                  <c:v>GFAP</c:v>
                </c:pt>
                <c:pt idx="2">
                  <c:v>TUJ1</c:v>
                </c:pt>
                <c:pt idx="3">
                  <c:v>Hoechst</c:v>
                </c:pt>
              </c:strCache>
            </c:strRef>
          </c:cat>
          <c:val>
            <c:numRef>
              <c:f>'6ohda'!$B$71:$E$71</c:f>
              <c:numCache>
                <c:formatCode>General</c:formatCode>
                <c:ptCount val="4"/>
                <c:pt idx="0">
                  <c:v>88000000</c:v>
                </c:pt>
                <c:pt idx="1">
                  <c:v>5010000</c:v>
                </c:pt>
                <c:pt idx="2">
                  <c:v>125000000</c:v>
                </c:pt>
                <c:pt idx="3">
                  <c:v>30000000</c:v>
                </c:pt>
              </c:numCache>
            </c:numRef>
          </c:val>
        </c:ser>
        <c:ser>
          <c:idx val="1"/>
          <c:order val="1"/>
          <c:tx>
            <c:strRef>
              <c:f>'6ohda'!$A$72</c:f>
              <c:strCache>
                <c:ptCount val="1"/>
                <c:pt idx="0">
                  <c:v>dmso 10a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'6ohda'!$B$70:$E$70</c:f>
              <c:strCache>
                <c:ptCount val="4"/>
                <c:pt idx="0">
                  <c:v>TH</c:v>
                </c:pt>
                <c:pt idx="1">
                  <c:v>GFAP</c:v>
                </c:pt>
                <c:pt idx="2">
                  <c:v>TUJ1</c:v>
                </c:pt>
                <c:pt idx="3">
                  <c:v>Hoechst</c:v>
                </c:pt>
              </c:strCache>
            </c:strRef>
          </c:cat>
          <c:val>
            <c:numRef>
              <c:f>'6ohda'!$B$72:$E$72</c:f>
              <c:numCache>
                <c:formatCode>General</c:formatCode>
                <c:ptCount val="4"/>
                <c:pt idx="0">
                  <c:v>78200000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362672"/>
        <c:axId val="382363232"/>
      </c:barChart>
      <c:catAx>
        <c:axId val="3823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63232"/>
        <c:crosses val="autoZero"/>
        <c:auto val="1"/>
        <c:lblAlgn val="ctr"/>
        <c:lblOffset val="100"/>
        <c:noMultiLvlLbl val="0"/>
      </c:catAx>
      <c:valAx>
        <c:axId val="382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6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6708286464191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9531487135536"/>
          <c:y val="0.11595155784297606"/>
          <c:w val="0.85866409555948364"/>
          <c:h val="0.70567116284611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'6ohda'!$K$1:$K$2</c:f>
              <c:strCache>
                <c:ptCount val="2"/>
                <c:pt idx="0">
                  <c:v>t12</c:v>
                </c:pt>
                <c:pt idx="1">
                  <c:v>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'6ohda'!$J$3:$J$12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'6ohda'!$K$3:$K$12</c:f>
              <c:numCache>
                <c:formatCode>General</c:formatCode>
                <c:ptCount val="10"/>
                <c:pt idx="0">
                  <c:v>41600000</c:v>
                </c:pt>
                <c:pt idx="1">
                  <c:v>45400000</c:v>
                </c:pt>
                <c:pt idx="2">
                  <c:v>9360000</c:v>
                </c:pt>
                <c:pt idx="3">
                  <c:v>20900000</c:v>
                </c:pt>
                <c:pt idx="4">
                  <c:v>7500000</c:v>
                </c:pt>
                <c:pt idx="5">
                  <c:v>39700000</c:v>
                </c:pt>
                <c:pt idx="6">
                  <c:v>48200000</c:v>
                </c:pt>
                <c:pt idx="7">
                  <c:v>36400000</c:v>
                </c:pt>
                <c:pt idx="8">
                  <c:v>20700000</c:v>
                </c:pt>
                <c:pt idx="9">
                  <c:v>15700000</c:v>
                </c:pt>
              </c:numCache>
            </c:numRef>
          </c:val>
        </c:ser>
        <c:ser>
          <c:idx val="1"/>
          <c:order val="1"/>
          <c:tx>
            <c:strRef>
              <c:f>'6ohda'!$L$1:$L$2</c:f>
              <c:strCache>
                <c:ptCount val="2"/>
                <c:pt idx="0">
                  <c:v>t12</c:v>
                </c:pt>
                <c:pt idx="1">
                  <c:v>GFAP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'6ohda'!$J$3:$J$12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'6ohda'!$L$3:$L$12</c:f>
              <c:numCache>
                <c:formatCode>General</c:formatCode>
                <c:ptCount val="10"/>
                <c:pt idx="0">
                  <c:v>2670000</c:v>
                </c:pt>
                <c:pt idx="1">
                  <c:v>10700000</c:v>
                </c:pt>
                <c:pt idx="2">
                  <c:v>1440000</c:v>
                </c:pt>
                <c:pt idx="3">
                  <c:v>3210000</c:v>
                </c:pt>
                <c:pt idx="4">
                  <c:v>2610000</c:v>
                </c:pt>
                <c:pt idx="5">
                  <c:v>5290000</c:v>
                </c:pt>
                <c:pt idx="6">
                  <c:v>2480000</c:v>
                </c:pt>
                <c:pt idx="7">
                  <c:v>3560000</c:v>
                </c:pt>
                <c:pt idx="8">
                  <c:v>3810000</c:v>
                </c:pt>
                <c:pt idx="9">
                  <c:v>2380000</c:v>
                </c:pt>
              </c:numCache>
            </c:numRef>
          </c:val>
        </c:ser>
        <c:ser>
          <c:idx val="2"/>
          <c:order val="2"/>
          <c:tx>
            <c:strRef>
              <c:f>'6ohda'!$M$1:$M$2</c:f>
              <c:strCache>
                <c:ptCount val="2"/>
                <c:pt idx="0">
                  <c:v>t12</c:v>
                </c:pt>
                <c:pt idx="1">
                  <c:v>TUJ1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'6ohda'!$J$3:$J$12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'6ohda'!$M$3:$M$12</c:f>
              <c:numCache>
                <c:formatCode>General</c:formatCode>
                <c:ptCount val="10"/>
                <c:pt idx="0">
                  <c:v>40900000</c:v>
                </c:pt>
                <c:pt idx="1">
                  <c:v>49500000</c:v>
                </c:pt>
                <c:pt idx="2">
                  <c:v>14700000</c:v>
                </c:pt>
                <c:pt idx="3">
                  <c:v>32300000</c:v>
                </c:pt>
                <c:pt idx="4">
                  <c:v>15700000</c:v>
                </c:pt>
                <c:pt idx="5">
                  <c:v>34100000</c:v>
                </c:pt>
                <c:pt idx="6">
                  <c:v>45300000</c:v>
                </c:pt>
                <c:pt idx="7">
                  <c:v>59700000</c:v>
                </c:pt>
                <c:pt idx="8">
                  <c:v>47500000</c:v>
                </c:pt>
                <c:pt idx="9">
                  <c:v>15700000</c:v>
                </c:pt>
              </c:numCache>
            </c:numRef>
          </c:val>
        </c:ser>
        <c:ser>
          <c:idx val="3"/>
          <c:order val="3"/>
          <c:tx>
            <c:strRef>
              <c:f>'6ohda'!$N$1:$N$2</c:f>
              <c:strCache>
                <c:ptCount val="2"/>
                <c:pt idx="0">
                  <c:v>t12</c:v>
                </c:pt>
                <c:pt idx="1">
                  <c:v>Hoechst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'6ohda'!$J$3:$J$12</c:f>
              <c:strCache>
                <c:ptCount val="10"/>
                <c:pt idx="0">
                  <c:v>B CTRL AUTO</c:v>
                </c:pt>
                <c:pt idx="1">
                  <c:v>B 50 auto</c:v>
                </c:pt>
                <c:pt idx="2">
                  <c:v>B 100 AUTO</c:v>
                </c:pt>
                <c:pt idx="3">
                  <c:v>B150 AUTO</c:v>
                </c:pt>
                <c:pt idx="4">
                  <c:v>B 175 AUTO TH</c:v>
                </c:pt>
                <c:pt idx="5">
                  <c:v>B CTRL </c:v>
                </c:pt>
                <c:pt idx="6">
                  <c:v>B50</c:v>
                </c:pt>
                <c:pt idx="7">
                  <c:v>B 100</c:v>
                </c:pt>
                <c:pt idx="8">
                  <c:v>B 150</c:v>
                </c:pt>
                <c:pt idx="9">
                  <c:v>B 175</c:v>
                </c:pt>
              </c:strCache>
            </c:strRef>
          </c:cat>
          <c:val>
            <c:numRef>
              <c:f>'6ohda'!$N$3:$N$12</c:f>
              <c:numCache>
                <c:formatCode>General</c:formatCode>
                <c:ptCount val="10"/>
                <c:pt idx="0">
                  <c:v>7580000</c:v>
                </c:pt>
                <c:pt idx="1">
                  <c:v>5670000</c:v>
                </c:pt>
                <c:pt idx="2">
                  <c:v>3440000</c:v>
                </c:pt>
                <c:pt idx="3">
                  <c:v>10900000</c:v>
                </c:pt>
                <c:pt idx="4">
                  <c:v>2620000</c:v>
                </c:pt>
                <c:pt idx="5">
                  <c:v>13600000.000000002</c:v>
                </c:pt>
                <c:pt idx="6">
                  <c:v>5670000</c:v>
                </c:pt>
                <c:pt idx="7">
                  <c:v>13300000</c:v>
                </c:pt>
                <c:pt idx="8">
                  <c:v>15800000</c:v>
                </c:pt>
                <c:pt idx="9">
                  <c:v>5700000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271872"/>
        <c:axId val="387272432"/>
      </c:barChart>
      <c:catAx>
        <c:axId val="3872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72432"/>
        <c:crosses val="autoZero"/>
        <c:auto val="1"/>
        <c:lblAlgn val="ctr"/>
        <c:lblOffset val="100"/>
        <c:noMultiLvlLbl val="0"/>
      </c:catAx>
      <c:valAx>
        <c:axId val="38727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7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'6ohda'!$K$26:$K$31</c:f>
              <c:strCache>
                <c:ptCount val="6"/>
                <c:pt idx="0">
                  <c:v>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'6ohda'!$J$32:$J$36</c:f>
              <c:strCache>
                <c:ptCount val="5"/>
                <c:pt idx="0">
                  <c:v>B CTRL </c:v>
                </c:pt>
                <c:pt idx="1">
                  <c:v>B50</c:v>
                </c:pt>
                <c:pt idx="2">
                  <c:v>B 100</c:v>
                </c:pt>
                <c:pt idx="3">
                  <c:v>B 150</c:v>
                </c:pt>
                <c:pt idx="4">
                  <c:v>B 175</c:v>
                </c:pt>
              </c:strCache>
            </c:strRef>
          </c:cat>
          <c:val>
            <c:numRef>
              <c:f>'6ohda'!$K$32:$K$36</c:f>
              <c:numCache>
                <c:formatCode>General</c:formatCode>
                <c:ptCount val="5"/>
                <c:pt idx="0">
                  <c:v>41800000</c:v>
                </c:pt>
                <c:pt idx="1">
                  <c:v>19900000</c:v>
                </c:pt>
                <c:pt idx="2">
                  <c:v>9450000</c:v>
                </c:pt>
                <c:pt idx="3">
                  <c:v>21200000</c:v>
                </c:pt>
                <c:pt idx="4">
                  <c:v>10200000</c:v>
                </c:pt>
              </c:numCache>
            </c:numRef>
          </c:val>
        </c:ser>
        <c:ser>
          <c:idx val="1"/>
          <c:order val="1"/>
          <c:tx>
            <c:strRef>
              <c:f>'6ohda'!$L$26:$L$31</c:f>
              <c:strCache>
                <c:ptCount val="6"/>
                <c:pt idx="0">
                  <c:v>GFAP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'6ohda'!$J$32:$J$36</c:f>
              <c:strCache>
                <c:ptCount val="5"/>
                <c:pt idx="0">
                  <c:v>B CTRL </c:v>
                </c:pt>
                <c:pt idx="1">
                  <c:v>B50</c:v>
                </c:pt>
                <c:pt idx="2">
                  <c:v>B 100</c:v>
                </c:pt>
                <c:pt idx="3">
                  <c:v>B 150</c:v>
                </c:pt>
                <c:pt idx="4">
                  <c:v>B 175</c:v>
                </c:pt>
              </c:strCache>
            </c:strRef>
          </c:cat>
          <c:val>
            <c:numRef>
              <c:f>'6ohda'!$L$32:$L$36</c:f>
              <c:numCache>
                <c:formatCode>General</c:formatCode>
                <c:ptCount val="5"/>
                <c:pt idx="0">
                  <c:v>537000</c:v>
                </c:pt>
                <c:pt idx="1">
                  <c:v>366000</c:v>
                </c:pt>
                <c:pt idx="2">
                  <c:v>323000</c:v>
                </c:pt>
                <c:pt idx="3">
                  <c:v>5320000</c:v>
                </c:pt>
                <c:pt idx="4">
                  <c:v>554000</c:v>
                </c:pt>
              </c:numCache>
            </c:numRef>
          </c:val>
        </c:ser>
        <c:ser>
          <c:idx val="2"/>
          <c:order val="2"/>
          <c:tx>
            <c:strRef>
              <c:f>'6ohda'!$M$26:$M$31</c:f>
              <c:strCache>
                <c:ptCount val="6"/>
                <c:pt idx="0">
                  <c:v>TUJ1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'6ohda'!$J$32:$J$36</c:f>
              <c:strCache>
                <c:ptCount val="5"/>
                <c:pt idx="0">
                  <c:v>B CTRL </c:v>
                </c:pt>
                <c:pt idx="1">
                  <c:v>B50</c:v>
                </c:pt>
                <c:pt idx="2">
                  <c:v>B 100</c:v>
                </c:pt>
                <c:pt idx="3">
                  <c:v>B 150</c:v>
                </c:pt>
                <c:pt idx="4">
                  <c:v>B 175</c:v>
                </c:pt>
              </c:strCache>
            </c:strRef>
          </c:cat>
          <c:val>
            <c:numRef>
              <c:f>'6ohda'!$M$32:$M$36</c:f>
              <c:numCache>
                <c:formatCode>General</c:formatCode>
                <c:ptCount val="5"/>
                <c:pt idx="0">
                  <c:v>29700000.000000004</c:v>
                </c:pt>
                <c:pt idx="1">
                  <c:v>32799999.999999996</c:v>
                </c:pt>
                <c:pt idx="2">
                  <c:v>10300000</c:v>
                </c:pt>
                <c:pt idx="3">
                  <c:v>26200000</c:v>
                </c:pt>
                <c:pt idx="4">
                  <c:v>20299999.999999996</c:v>
                </c:pt>
              </c:numCache>
            </c:numRef>
          </c:val>
        </c:ser>
        <c:ser>
          <c:idx val="3"/>
          <c:order val="3"/>
          <c:tx>
            <c:strRef>
              <c:f>'6ohda'!$N$26:$N$31</c:f>
              <c:strCache>
                <c:ptCount val="6"/>
                <c:pt idx="0">
                  <c:v>Hoechst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'6ohda'!$J$32:$J$36</c:f>
              <c:strCache>
                <c:ptCount val="5"/>
                <c:pt idx="0">
                  <c:v>B CTRL </c:v>
                </c:pt>
                <c:pt idx="1">
                  <c:v>B50</c:v>
                </c:pt>
                <c:pt idx="2">
                  <c:v>B 100</c:v>
                </c:pt>
                <c:pt idx="3">
                  <c:v>B 150</c:v>
                </c:pt>
                <c:pt idx="4">
                  <c:v>B 175</c:v>
                </c:pt>
              </c:strCache>
            </c:strRef>
          </c:cat>
          <c:val>
            <c:numRef>
              <c:f>'6ohda'!$N$32:$N$36</c:f>
              <c:numCache>
                <c:formatCode>General</c:formatCode>
                <c:ptCount val="5"/>
                <c:pt idx="0">
                  <c:v>9170000</c:v>
                </c:pt>
                <c:pt idx="1">
                  <c:v>3370000</c:v>
                </c:pt>
                <c:pt idx="2">
                  <c:v>472000</c:v>
                </c:pt>
                <c:pt idx="3">
                  <c:v>12300000</c:v>
                </c:pt>
                <c:pt idx="4">
                  <c:v>2170000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276912"/>
        <c:axId val="387277472"/>
      </c:barChart>
      <c:catAx>
        <c:axId val="3872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77472"/>
        <c:crosses val="autoZero"/>
        <c:auto val="1"/>
        <c:lblAlgn val="ctr"/>
        <c:lblOffset val="100"/>
        <c:noMultiLvlLbl val="0"/>
      </c:catAx>
      <c:valAx>
        <c:axId val="3872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7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rotenone!$B$3</c:f>
              <c:strCache>
                <c:ptCount val="1"/>
                <c:pt idx="0">
                  <c:v>t12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rotenone!$C$2:$K$2</c:f>
              <c:strCache>
                <c:ptCount val="9"/>
                <c:pt idx="0">
                  <c:v>th</c:v>
                </c:pt>
                <c:pt idx="1">
                  <c:v>tuj1</c:v>
                </c:pt>
                <c:pt idx="2">
                  <c:v>gfap</c:v>
                </c:pt>
                <c:pt idx="3">
                  <c:v>hoechst</c:v>
                </c:pt>
                <c:pt idx="4">
                  <c:v>2.8</c:v>
                </c:pt>
                <c:pt idx="5">
                  <c:v>th</c:v>
                </c:pt>
                <c:pt idx="6">
                  <c:v>tuj1</c:v>
                </c:pt>
                <c:pt idx="7">
                  <c:v>gfap</c:v>
                </c:pt>
                <c:pt idx="8">
                  <c:v>hoechst</c:v>
                </c:pt>
              </c:strCache>
            </c:strRef>
          </c:cat>
          <c:val>
            <c:numRef>
              <c:f>rotenone!$C$3:$K$3</c:f>
              <c:numCache>
                <c:formatCode>General</c:formatCode>
                <c:ptCount val="9"/>
                <c:pt idx="0">
                  <c:v>34700000</c:v>
                </c:pt>
                <c:pt idx="1">
                  <c:v>21800000</c:v>
                </c:pt>
                <c:pt idx="2">
                  <c:v>1110000</c:v>
                </c:pt>
                <c:pt idx="3">
                  <c:v>3140000</c:v>
                </c:pt>
                <c:pt idx="5">
                  <c:v>47400000</c:v>
                </c:pt>
                <c:pt idx="6">
                  <c:v>30700000</c:v>
                </c:pt>
                <c:pt idx="7">
                  <c:v>2280000</c:v>
                </c:pt>
                <c:pt idx="8">
                  <c:v>6140000</c:v>
                </c:pt>
              </c:numCache>
            </c:numRef>
          </c:val>
        </c:ser>
        <c:ser>
          <c:idx val="1"/>
          <c:order val="1"/>
          <c:tx>
            <c:strRef>
              <c:f>rotenone!$B$4</c:f>
              <c:strCache>
                <c:ptCount val="1"/>
                <c:pt idx="0">
                  <c:v>cor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rotenone!$C$2:$K$2</c:f>
              <c:strCache>
                <c:ptCount val="9"/>
                <c:pt idx="0">
                  <c:v>th</c:v>
                </c:pt>
                <c:pt idx="1">
                  <c:v>tuj1</c:v>
                </c:pt>
                <c:pt idx="2">
                  <c:v>gfap</c:v>
                </c:pt>
                <c:pt idx="3">
                  <c:v>hoechst</c:v>
                </c:pt>
                <c:pt idx="4">
                  <c:v>2.8</c:v>
                </c:pt>
                <c:pt idx="5">
                  <c:v>th</c:v>
                </c:pt>
                <c:pt idx="6">
                  <c:v>tuj1</c:v>
                </c:pt>
                <c:pt idx="7">
                  <c:v>gfap</c:v>
                </c:pt>
                <c:pt idx="8">
                  <c:v>hoechst</c:v>
                </c:pt>
              </c:strCache>
            </c:strRef>
          </c:cat>
          <c:val>
            <c:numRef>
              <c:f>rotenone!$C$4:$K$4</c:f>
              <c:numCache>
                <c:formatCode>General</c:formatCode>
                <c:ptCount val="9"/>
                <c:pt idx="0">
                  <c:v>32700000</c:v>
                </c:pt>
                <c:pt idx="1">
                  <c:v>39600000</c:v>
                </c:pt>
                <c:pt idx="2">
                  <c:v>2089999.9999999998</c:v>
                </c:pt>
                <c:pt idx="3">
                  <c:v>9770000</c:v>
                </c:pt>
                <c:pt idx="5">
                  <c:v>69100000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280832"/>
        <c:axId val="387281392"/>
      </c:barChart>
      <c:catAx>
        <c:axId val="3872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81392"/>
        <c:crosses val="autoZero"/>
        <c:auto val="1"/>
        <c:lblAlgn val="ctr"/>
        <c:lblOffset val="100"/>
        <c:noMultiLvlLbl val="0"/>
      </c:catAx>
      <c:valAx>
        <c:axId val="3872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28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104776</xdr:rowOff>
    </xdr:from>
    <xdr:to>
      <xdr:col>25</xdr:col>
      <xdr:colOff>476250</xdr:colOff>
      <xdr:row>13</xdr:row>
      <xdr:rowOff>180976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85724</xdr:colOff>
      <xdr:row>88</xdr:row>
      <xdr:rowOff>147636</xdr:rowOff>
    </xdr:from>
    <xdr:to>
      <xdr:col>27</xdr:col>
      <xdr:colOff>266699</xdr:colOff>
      <xdr:row>108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95250</xdr:rowOff>
    </xdr:from>
    <xdr:to>
      <xdr:col>25</xdr:col>
      <xdr:colOff>514350</xdr:colOff>
      <xdr:row>27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314325</xdr:colOff>
      <xdr:row>29</xdr:row>
      <xdr:rowOff>180975</xdr:rowOff>
    </xdr:from>
    <xdr:to>
      <xdr:col>26</xdr:col>
      <xdr:colOff>142875</xdr:colOff>
      <xdr:row>46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438149</xdr:colOff>
      <xdr:row>2</xdr:row>
      <xdr:rowOff>133350</xdr:rowOff>
    </xdr:from>
    <xdr:to>
      <xdr:col>21</xdr:col>
      <xdr:colOff>352424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workbookViewId="0">
      <selection activeCell="K3" sqref="K3"/>
    </sheetView>
  </sheetViews>
  <sheetFormatPr defaultRowHeight="15" x14ac:dyDescent="0.25"/>
  <cols>
    <col min="1" max="1" width="10.28515625" customWidth="1"/>
    <col min="4" max="4" width="12" bestFit="1" customWidth="1"/>
    <col min="13" max="13" width="11" bestFit="1" customWidth="1"/>
  </cols>
  <sheetData>
    <row r="1" spans="1:15" x14ac:dyDescent="0.25">
      <c r="A1" t="s">
        <v>22</v>
      </c>
      <c r="B1" t="s">
        <v>0</v>
      </c>
      <c r="J1" t="s">
        <v>23</v>
      </c>
    </row>
    <row r="2" spans="1:15" x14ac:dyDescent="0.25">
      <c r="B2" t="s">
        <v>1</v>
      </c>
      <c r="C2" t="s">
        <v>2</v>
      </c>
      <c r="D2" t="s">
        <v>3</v>
      </c>
      <c r="E2" t="s">
        <v>4</v>
      </c>
      <c r="K2" t="s">
        <v>1</v>
      </c>
      <c r="L2" t="s">
        <v>2</v>
      </c>
      <c r="M2" t="s">
        <v>3</v>
      </c>
      <c r="N2" t="s">
        <v>4</v>
      </c>
    </row>
    <row r="3" spans="1:15" x14ac:dyDescent="0.25">
      <c r="A3" t="s">
        <v>16</v>
      </c>
      <c r="B3">
        <f>1.25*10^7</f>
        <v>12500000</v>
      </c>
      <c r="C3">
        <f>8.35*10^5</f>
        <v>835000</v>
      </c>
      <c r="D3">
        <f>2.11*10^7</f>
        <v>21100000</v>
      </c>
      <c r="E3">
        <f>4.69*10^6</f>
        <v>4690000</v>
      </c>
      <c r="J3" t="s">
        <v>16</v>
      </c>
      <c r="K3">
        <f>4.16*10^7</f>
        <v>41600000</v>
      </c>
      <c r="L3">
        <f>2.67*10^6</f>
        <v>2670000</v>
      </c>
      <c r="M3">
        <f>4.09*10^7</f>
        <v>40900000</v>
      </c>
      <c r="N3">
        <f>7.58*10^6</f>
        <v>7580000</v>
      </c>
      <c r="O3">
        <v>5</v>
      </c>
    </row>
    <row r="4" spans="1:15" x14ac:dyDescent="0.25">
      <c r="A4" t="s">
        <v>18</v>
      </c>
      <c r="B4">
        <f>1.35*10^6</f>
        <v>1350000</v>
      </c>
      <c r="C4">
        <f>6.34*10^5</f>
        <v>634000</v>
      </c>
      <c r="D4">
        <f>2.28*10^6</f>
        <v>2280000</v>
      </c>
      <c r="E4">
        <f>2.28*10^6</f>
        <v>2280000</v>
      </c>
      <c r="J4" t="s">
        <v>18</v>
      </c>
      <c r="K4">
        <f>4.54*10^7</f>
        <v>45400000</v>
      </c>
      <c r="L4">
        <f>1.07*10^7</f>
        <v>10700000</v>
      </c>
      <c r="M4">
        <f>4.95*10^7</f>
        <v>49500000</v>
      </c>
      <c r="N4">
        <f>5.67*10^6</f>
        <v>5670000</v>
      </c>
    </row>
    <row r="5" spans="1:15" x14ac:dyDescent="0.25">
      <c r="A5" t="s">
        <v>14</v>
      </c>
      <c r="B5">
        <f>3.64*10^6</f>
        <v>3640000</v>
      </c>
      <c r="C5">
        <f>3.13*10^5</f>
        <v>313000</v>
      </c>
      <c r="D5">
        <f>6.65*10^6</f>
        <v>6650000</v>
      </c>
      <c r="E5">
        <f>2.01*10^6</f>
        <v>2009999.9999999998</v>
      </c>
      <c r="J5" t="s">
        <v>14</v>
      </c>
      <c r="K5">
        <f>9.36*10^6</f>
        <v>9360000</v>
      </c>
      <c r="L5">
        <f>1.44*10^6</f>
        <v>1440000</v>
      </c>
      <c r="M5">
        <f>1.47*10^7</f>
        <v>14700000</v>
      </c>
      <c r="N5">
        <f>3.44*10^6</f>
        <v>3440000</v>
      </c>
      <c r="O5">
        <v>7.99</v>
      </c>
    </row>
    <row r="6" spans="1:15" x14ac:dyDescent="0.25">
      <c r="A6" t="s">
        <v>15</v>
      </c>
      <c r="B6">
        <f>9.02*10^4</f>
        <v>90200</v>
      </c>
      <c r="C6">
        <f>2.02*10^5</f>
        <v>202000</v>
      </c>
      <c r="D6">
        <f>3.08*10^6</f>
        <v>3080000</v>
      </c>
      <c r="E6">
        <f>3.96*10^5</f>
        <v>396000</v>
      </c>
      <c r="J6" t="s">
        <v>15</v>
      </c>
      <c r="K6">
        <f>2.09*10^7</f>
        <v>20900000</v>
      </c>
      <c r="L6">
        <f>3.21*10^6</f>
        <v>3210000</v>
      </c>
      <c r="M6">
        <f>3.23*10^7</f>
        <v>32300000</v>
      </c>
      <c r="N6">
        <f>1.09*10^7</f>
        <v>10900000</v>
      </c>
    </row>
    <row r="7" spans="1:15" x14ac:dyDescent="0.25">
      <c r="A7" t="s">
        <v>13</v>
      </c>
      <c r="B7">
        <f>5.1*10^4</f>
        <v>51000</v>
      </c>
      <c r="C7">
        <f>8.38*10^4</f>
        <v>83800.000000000015</v>
      </c>
      <c r="D7">
        <f>2.27*10^6</f>
        <v>2270000</v>
      </c>
      <c r="E7">
        <f>8.79*10^5</f>
        <v>878999.99999999988</v>
      </c>
      <c r="J7" t="s">
        <v>13</v>
      </c>
      <c r="K7">
        <f>7.5*10^6</f>
        <v>7500000</v>
      </c>
      <c r="L7">
        <f>2.61*10^6</f>
        <v>2610000</v>
      </c>
      <c r="M7">
        <f>1.57*10^7</f>
        <v>15700000</v>
      </c>
      <c r="N7">
        <f>2.62*10^6</f>
        <v>2620000</v>
      </c>
    </row>
    <row r="8" spans="1:15" x14ac:dyDescent="0.25">
      <c r="A8" t="s">
        <v>19</v>
      </c>
      <c r="B8">
        <f>2.78*10^7</f>
        <v>27799999.999999996</v>
      </c>
      <c r="C8">
        <f>3.51*10^6</f>
        <v>3510000</v>
      </c>
      <c r="D8">
        <f>1.91*10^7</f>
        <v>19100000</v>
      </c>
      <c r="E8">
        <f>7.52*10^6</f>
        <v>7520000</v>
      </c>
      <c r="H8">
        <v>2.5</v>
      </c>
      <c r="J8" t="s">
        <v>19</v>
      </c>
      <c r="K8">
        <f>3.97*10^7</f>
        <v>39700000</v>
      </c>
      <c r="L8">
        <f>5.29*10^6</f>
        <v>5290000</v>
      </c>
      <c r="M8">
        <f>3.41*10^7</f>
        <v>34100000</v>
      </c>
      <c r="N8">
        <f>1.36*10^7</f>
        <v>13600000.000000002</v>
      </c>
      <c r="O8">
        <v>5.13</v>
      </c>
    </row>
    <row r="9" spans="1:15" x14ac:dyDescent="0.25">
      <c r="A9" t="s">
        <v>17</v>
      </c>
      <c r="B9">
        <f>2.43*10^7</f>
        <v>24300000</v>
      </c>
      <c r="C9">
        <f>3.53*10^6</f>
        <v>3530000</v>
      </c>
      <c r="D9">
        <f>2.16*10^7</f>
        <v>21600000</v>
      </c>
      <c r="E9">
        <f>7.86*10^6</f>
        <v>7860000</v>
      </c>
      <c r="H9">
        <v>2.66</v>
      </c>
      <c r="J9" t="s">
        <v>17</v>
      </c>
      <c r="K9">
        <f>4.82*10^7</f>
        <v>48200000</v>
      </c>
      <c r="L9">
        <f>2.48*10^6</f>
        <v>2480000</v>
      </c>
      <c r="M9">
        <f>4.53*10^7</f>
        <v>45300000</v>
      </c>
      <c r="N9">
        <f>5.67*10^6</f>
        <v>5670000</v>
      </c>
      <c r="O9">
        <v>2.62</v>
      </c>
    </row>
    <row r="10" spans="1:15" x14ac:dyDescent="0.25">
      <c r="A10" t="s">
        <v>8</v>
      </c>
      <c r="B10">
        <f>9*10^6</f>
        <v>9000000</v>
      </c>
      <c r="C10">
        <f>2.06*10^6</f>
        <v>2060000</v>
      </c>
      <c r="D10">
        <f>1.64*10^7</f>
        <v>16399999.999999998</v>
      </c>
      <c r="E10">
        <f>5.77*10^6</f>
        <v>5770000</v>
      </c>
      <c r="H10">
        <v>3.29</v>
      </c>
      <c r="J10" t="s">
        <v>8</v>
      </c>
      <c r="K10">
        <f>3.64*10^7</f>
        <v>36400000</v>
      </c>
      <c r="L10">
        <f>3.56*10^6</f>
        <v>3560000</v>
      </c>
      <c r="M10">
        <f>5.97*10^7</f>
        <v>59700000</v>
      </c>
      <c r="N10">
        <f>1.33*10^7</f>
        <v>13300000</v>
      </c>
      <c r="O10">
        <v>3.21</v>
      </c>
    </row>
    <row r="11" spans="1:15" x14ac:dyDescent="0.25">
      <c r="A11" t="s">
        <v>7</v>
      </c>
      <c r="B11">
        <f>5.05*10^6</f>
        <v>5050000</v>
      </c>
      <c r="C11">
        <f>2.2*10^6</f>
        <v>2200000</v>
      </c>
      <c r="D11">
        <f>1.21*10^7</f>
        <v>12100000</v>
      </c>
      <c r="E11">
        <f>3.77*10^6</f>
        <v>3770000</v>
      </c>
      <c r="H11">
        <v>1.4</v>
      </c>
      <c r="J11" t="s">
        <v>7</v>
      </c>
      <c r="K11">
        <f>2.07*10^7</f>
        <v>20700000</v>
      </c>
      <c r="L11">
        <f>3.81*10^6</f>
        <v>3810000</v>
      </c>
      <c r="M11">
        <f>4.75*10^7</f>
        <v>47500000</v>
      </c>
      <c r="N11">
        <f>1.58*10^7</f>
        <v>15800000</v>
      </c>
      <c r="O11">
        <v>4</v>
      </c>
    </row>
    <row r="12" spans="1:15" x14ac:dyDescent="0.25">
      <c r="A12" t="s">
        <v>6</v>
      </c>
      <c r="B12">
        <f>4.96*10^6</f>
        <v>4960000</v>
      </c>
      <c r="C12">
        <f>1.08*10^6</f>
        <v>1080000</v>
      </c>
      <c r="D12">
        <f>1.16*10^7</f>
        <v>11600000</v>
      </c>
      <c r="E12">
        <f>4.51*10^6</f>
        <v>4510000</v>
      </c>
      <c r="F12" t="s">
        <v>12</v>
      </c>
      <c r="H12">
        <v>1.96</v>
      </c>
      <c r="J12" t="s">
        <v>6</v>
      </c>
      <c r="K12">
        <f>1.57*10^7</f>
        <v>15700000</v>
      </c>
      <c r="L12">
        <f>2.38*10^6</f>
        <v>2380000</v>
      </c>
      <c r="M12">
        <f>1.57*10^7</f>
        <v>15700000</v>
      </c>
      <c r="N12">
        <f>5.7*10^6</f>
        <v>5700000</v>
      </c>
      <c r="O12">
        <v>7.38</v>
      </c>
    </row>
    <row r="14" spans="1:15" x14ac:dyDescent="0.25">
      <c r="B14" t="s">
        <v>1</v>
      </c>
      <c r="C14" t="s">
        <v>2</v>
      </c>
      <c r="D14" t="s">
        <v>3</v>
      </c>
      <c r="E14" t="s">
        <v>4</v>
      </c>
      <c r="K14" t="s">
        <v>1</v>
      </c>
      <c r="L14" t="s">
        <v>2</v>
      </c>
      <c r="M14" t="s">
        <v>3</v>
      </c>
      <c r="N14" t="s">
        <v>4</v>
      </c>
    </row>
    <row r="15" spans="1:15" x14ac:dyDescent="0.25">
      <c r="A15" t="s">
        <v>16</v>
      </c>
      <c r="B15">
        <f>B3/E3</f>
        <v>2.6652452025586353</v>
      </c>
      <c r="C15">
        <f>C3/E3</f>
        <v>0.17803837953091683</v>
      </c>
      <c r="D15">
        <f>D3/E3</f>
        <v>4.4989339019189769</v>
      </c>
      <c r="E15">
        <f>E3/E3</f>
        <v>1</v>
      </c>
      <c r="J15" t="s">
        <v>16</v>
      </c>
      <c r="K15">
        <f>K3/N3</f>
        <v>5.4881266490765173</v>
      </c>
      <c r="L15">
        <f>L3/N3</f>
        <v>0.35224274406332456</v>
      </c>
      <c r="M15">
        <f>M3/N3</f>
        <v>5.3957783641160946</v>
      </c>
      <c r="N15">
        <f>N3/N3</f>
        <v>1</v>
      </c>
    </row>
    <row r="16" spans="1:15" x14ac:dyDescent="0.25">
      <c r="A16" t="s">
        <v>18</v>
      </c>
      <c r="B16">
        <f t="shared" ref="B16:B24" si="0">B4/E4</f>
        <v>0.59210526315789469</v>
      </c>
      <c r="C16">
        <f t="shared" ref="C16:C24" si="1">C4/E4</f>
        <v>0.27807017543859647</v>
      </c>
      <c r="D16">
        <f>D4/E4</f>
        <v>1</v>
      </c>
      <c r="E16">
        <f t="shared" ref="E16:E24" si="2">E4/E4</f>
        <v>1</v>
      </c>
      <c r="J16" t="s">
        <v>18</v>
      </c>
      <c r="K16">
        <f t="shared" ref="K16:K19" si="3">K4/N4</f>
        <v>8.0070546737213402</v>
      </c>
      <c r="L16">
        <f t="shared" ref="L16:L24" si="4">L4/N4</f>
        <v>1.8871252204585538</v>
      </c>
      <c r="M16">
        <f>M4/N4</f>
        <v>8.7301587301587293</v>
      </c>
      <c r="N16">
        <f t="shared" ref="N16:N24" si="5">N4/N4</f>
        <v>1</v>
      </c>
    </row>
    <row r="17" spans="1:15" x14ac:dyDescent="0.25">
      <c r="A17" t="s">
        <v>14</v>
      </c>
      <c r="B17">
        <f t="shared" si="0"/>
        <v>1.810945273631841</v>
      </c>
      <c r="C17">
        <f t="shared" si="1"/>
        <v>0.15572139303482588</v>
      </c>
      <c r="D17">
        <f t="shared" ref="D17:D24" si="6">D5/E5</f>
        <v>3.3084577114427867</v>
      </c>
      <c r="E17">
        <f t="shared" si="2"/>
        <v>1</v>
      </c>
      <c r="J17" t="s">
        <v>14</v>
      </c>
      <c r="K17">
        <f t="shared" si="3"/>
        <v>2.7209302325581395</v>
      </c>
      <c r="L17">
        <f>L5/N5</f>
        <v>0.41860465116279072</v>
      </c>
      <c r="M17">
        <f t="shared" ref="M17:M24" si="7">M5/N5</f>
        <v>4.2732558139534884</v>
      </c>
      <c r="N17">
        <f t="shared" si="5"/>
        <v>1</v>
      </c>
    </row>
    <row r="18" spans="1:15" x14ac:dyDescent="0.25">
      <c r="A18" t="s">
        <v>15</v>
      </c>
      <c r="B18">
        <f t="shared" si="0"/>
        <v>0.22777777777777777</v>
      </c>
      <c r="C18">
        <f t="shared" si="1"/>
        <v>0.51010101010101006</v>
      </c>
      <c r="D18">
        <f t="shared" si="6"/>
        <v>7.7777777777777777</v>
      </c>
      <c r="E18">
        <f t="shared" si="2"/>
        <v>1</v>
      </c>
      <c r="J18" t="s">
        <v>15</v>
      </c>
      <c r="K18">
        <f t="shared" si="3"/>
        <v>1.9174311926605505</v>
      </c>
      <c r="L18">
        <f>L6/N6</f>
        <v>0.29449541284403669</v>
      </c>
      <c r="M18">
        <f t="shared" si="7"/>
        <v>2.9633027522935782</v>
      </c>
      <c r="N18">
        <f t="shared" si="5"/>
        <v>1</v>
      </c>
    </row>
    <row r="19" spans="1:15" x14ac:dyDescent="0.25">
      <c r="A19" t="s">
        <v>13</v>
      </c>
      <c r="B19">
        <f t="shared" si="0"/>
        <v>5.8020477815699668E-2</v>
      </c>
      <c r="C19">
        <f t="shared" si="1"/>
        <v>9.5335608646188882E-2</v>
      </c>
      <c r="D19">
        <f t="shared" si="6"/>
        <v>2.5824800910125147</v>
      </c>
      <c r="E19">
        <f t="shared" si="2"/>
        <v>1</v>
      </c>
      <c r="J19" t="s">
        <v>13</v>
      </c>
      <c r="K19">
        <f t="shared" si="3"/>
        <v>2.8625954198473282</v>
      </c>
      <c r="L19">
        <f t="shared" si="4"/>
        <v>0.99618320610687028</v>
      </c>
      <c r="M19">
        <f t="shared" si="7"/>
        <v>5.9923664122137401</v>
      </c>
      <c r="N19">
        <f t="shared" si="5"/>
        <v>1</v>
      </c>
    </row>
    <row r="20" spans="1:15" x14ac:dyDescent="0.25">
      <c r="A20" t="s">
        <v>19</v>
      </c>
      <c r="B20">
        <f t="shared" si="0"/>
        <v>3.6968085106382973</v>
      </c>
      <c r="C20">
        <f t="shared" si="1"/>
        <v>0.46675531914893614</v>
      </c>
      <c r="D20">
        <f t="shared" si="6"/>
        <v>2.5398936170212765</v>
      </c>
      <c r="E20">
        <f t="shared" si="2"/>
        <v>1</v>
      </c>
      <c r="J20" t="s">
        <v>19</v>
      </c>
      <c r="K20">
        <f>K8/N8</f>
        <v>2.9191176470588229</v>
      </c>
      <c r="L20">
        <f>L8/N8</f>
        <v>0.38897058823529407</v>
      </c>
      <c r="M20">
        <f t="shared" si="7"/>
        <v>2.5073529411764701</v>
      </c>
      <c r="N20">
        <f t="shared" si="5"/>
        <v>1</v>
      </c>
    </row>
    <row r="21" spans="1:15" x14ac:dyDescent="0.25">
      <c r="A21" t="s">
        <v>17</v>
      </c>
      <c r="B21">
        <f t="shared" si="0"/>
        <v>3.0916030534351147</v>
      </c>
      <c r="C21">
        <f t="shared" si="1"/>
        <v>0.44910941475826971</v>
      </c>
      <c r="D21">
        <f t="shared" si="6"/>
        <v>2.7480916030534353</v>
      </c>
      <c r="E21">
        <f t="shared" si="2"/>
        <v>1</v>
      </c>
      <c r="J21" t="s">
        <v>17</v>
      </c>
      <c r="K21">
        <f>K9/N9</f>
        <v>8.5008818342151677</v>
      </c>
      <c r="L21">
        <f t="shared" si="4"/>
        <v>0.43738977072310403</v>
      </c>
      <c r="M21">
        <f t="shared" si="7"/>
        <v>7.9894179894179898</v>
      </c>
      <c r="N21">
        <f t="shared" si="5"/>
        <v>1</v>
      </c>
    </row>
    <row r="22" spans="1:15" x14ac:dyDescent="0.25">
      <c r="A22" t="s">
        <v>8</v>
      </c>
      <c r="B22">
        <f t="shared" si="0"/>
        <v>1.559792027729636</v>
      </c>
      <c r="C22">
        <f t="shared" si="1"/>
        <v>0.35701906412478335</v>
      </c>
      <c r="D22">
        <f t="shared" si="6"/>
        <v>2.842287694974003</v>
      </c>
      <c r="E22">
        <f t="shared" si="2"/>
        <v>1</v>
      </c>
      <c r="J22" t="s">
        <v>8</v>
      </c>
      <c r="K22">
        <f>K10/N10</f>
        <v>2.736842105263158</v>
      </c>
      <c r="L22">
        <f t="shared" si="4"/>
        <v>0.26766917293233083</v>
      </c>
      <c r="M22">
        <f>M10/N10</f>
        <v>4.488721804511278</v>
      </c>
      <c r="N22">
        <f t="shared" si="5"/>
        <v>1</v>
      </c>
    </row>
    <row r="23" spans="1:15" x14ac:dyDescent="0.25">
      <c r="A23" t="s">
        <v>7</v>
      </c>
      <c r="B23">
        <f t="shared" si="0"/>
        <v>1.3395225464190981</v>
      </c>
      <c r="C23">
        <f t="shared" si="1"/>
        <v>0.58355437665782495</v>
      </c>
      <c r="D23">
        <f t="shared" si="6"/>
        <v>3.2095490716180373</v>
      </c>
      <c r="E23">
        <f t="shared" si="2"/>
        <v>1</v>
      </c>
      <c r="J23" t="s">
        <v>7</v>
      </c>
      <c r="K23">
        <f>K11/N11</f>
        <v>1.3101265822784811</v>
      </c>
      <c r="L23">
        <f t="shared" si="4"/>
        <v>0.24113924050632912</v>
      </c>
      <c r="M23">
        <f t="shared" si="7"/>
        <v>3.0063291139240507</v>
      </c>
      <c r="N23">
        <f t="shared" si="5"/>
        <v>1</v>
      </c>
    </row>
    <row r="24" spans="1:15" x14ac:dyDescent="0.25">
      <c r="A24" t="s">
        <v>6</v>
      </c>
      <c r="B24">
        <f t="shared" si="0"/>
        <v>1.0997782705099779</v>
      </c>
      <c r="C24">
        <f t="shared" si="1"/>
        <v>0.23946784922394679</v>
      </c>
      <c r="D24">
        <f t="shared" si="6"/>
        <v>2.5720620842572064</v>
      </c>
      <c r="E24">
        <f t="shared" si="2"/>
        <v>1</v>
      </c>
      <c r="J24" t="s">
        <v>6</v>
      </c>
      <c r="K24">
        <f>K12/N12</f>
        <v>2.7543859649122808</v>
      </c>
      <c r="L24">
        <f t="shared" si="4"/>
        <v>0.41754385964912283</v>
      </c>
      <c r="M24">
        <f t="shared" si="7"/>
        <v>2.7543859649122808</v>
      </c>
      <c r="N24">
        <f t="shared" si="5"/>
        <v>1</v>
      </c>
    </row>
    <row r="26" spans="1:15" x14ac:dyDescent="0.25">
      <c r="K26" t="s">
        <v>1</v>
      </c>
      <c r="L26" t="s">
        <v>2</v>
      </c>
      <c r="M26" t="s">
        <v>3</v>
      </c>
      <c r="N26" t="s">
        <v>4</v>
      </c>
    </row>
    <row r="27" spans="1:15" x14ac:dyDescent="0.25">
      <c r="J27" t="s">
        <v>16</v>
      </c>
    </row>
    <row r="28" spans="1:15" x14ac:dyDescent="0.25">
      <c r="B28">
        <f>B8/D8</f>
        <v>1.4554973821989527</v>
      </c>
      <c r="C28">
        <f>K8/M8</f>
        <v>1.1642228739002933</v>
      </c>
      <c r="D28">
        <f>K32/M32</f>
        <v>1.4074074074074072</v>
      </c>
      <c r="J28" t="s">
        <v>18</v>
      </c>
    </row>
    <row r="29" spans="1:15" x14ac:dyDescent="0.25">
      <c r="B29">
        <f t="shared" ref="B29:B32" si="8">B9/D9</f>
        <v>1.125</v>
      </c>
      <c r="C29">
        <f>K9/M9</f>
        <v>1.0640176600441502</v>
      </c>
      <c r="D29">
        <f t="shared" ref="D29:D32" si="9">K33/M33</f>
        <v>0.60670731707317083</v>
      </c>
      <c r="J29" t="s">
        <v>14</v>
      </c>
    </row>
    <row r="30" spans="1:15" x14ac:dyDescent="0.25">
      <c r="B30">
        <f t="shared" si="8"/>
        <v>0.54878048780487809</v>
      </c>
      <c r="C30">
        <f t="shared" ref="C30:C31" si="10">K10/M10</f>
        <v>0.60971524288107204</v>
      </c>
      <c r="D30">
        <f t="shared" si="9"/>
        <v>0.91747572815533984</v>
      </c>
      <c r="J30" t="s">
        <v>15</v>
      </c>
    </row>
    <row r="31" spans="1:15" x14ac:dyDescent="0.25">
      <c r="B31">
        <f t="shared" si="8"/>
        <v>0.41735537190082644</v>
      </c>
      <c r="C31">
        <f t="shared" si="10"/>
        <v>0.4357894736842105</v>
      </c>
      <c r="D31">
        <f t="shared" si="9"/>
        <v>0.80916030534351147</v>
      </c>
      <c r="J31" t="s">
        <v>13</v>
      </c>
    </row>
    <row r="32" spans="1:15" x14ac:dyDescent="0.25">
      <c r="B32">
        <f t="shared" si="8"/>
        <v>0.42758620689655175</v>
      </c>
      <c r="D32">
        <f t="shared" si="9"/>
        <v>0.50246305418719217</v>
      </c>
      <c r="J32" t="s">
        <v>19</v>
      </c>
      <c r="K32">
        <f>4.18*10^7</f>
        <v>41800000</v>
      </c>
      <c r="L32">
        <f>5.37*10^5</f>
        <v>537000</v>
      </c>
      <c r="M32">
        <f>2.97*10^7</f>
        <v>29700000.000000004</v>
      </c>
      <c r="N32">
        <f>9.17*10^6</f>
        <v>9170000</v>
      </c>
      <c r="O32">
        <v>2.99</v>
      </c>
    </row>
    <row r="33" spans="1:15" x14ac:dyDescent="0.25">
      <c r="J33" t="s">
        <v>17</v>
      </c>
      <c r="K33">
        <f>1.99*10^7</f>
        <v>19900000</v>
      </c>
      <c r="L33">
        <f>3.66*10^5</f>
        <v>366000</v>
      </c>
      <c r="M33">
        <f>3.28*10^7</f>
        <v>32799999.999999996</v>
      </c>
      <c r="N33">
        <f>3.37*10^6</f>
        <v>3370000</v>
      </c>
      <c r="O33">
        <v>5.76</v>
      </c>
    </row>
    <row r="34" spans="1:15" x14ac:dyDescent="0.25">
      <c r="B34">
        <f>C8/E8</f>
        <v>0.46675531914893614</v>
      </c>
      <c r="C34">
        <f>L8/N8</f>
        <v>0.38897058823529407</v>
      </c>
      <c r="D34">
        <f>L32/N32</f>
        <v>5.8560523446019627E-2</v>
      </c>
      <c r="J34" t="s">
        <v>8</v>
      </c>
      <c r="K34">
        <f>9.45*10^6</f>
        <v>9450000</v>
      </c>
      <c r="L34">
        <f>3.23*10^5</f>
        <v>323000</v>
      </c>
      <c r="M34">
        <f>1.03*10^7</f>
        <v>10300000</v>
      </c>
      <c r="N34">
        <f>4.72*10^5</f>
        <v>472000</v>
      </c>
      <c r="O34">
        <v>16.600000000000001</v>
      </c>
    </row>
    <row r="35" spans="1:15" x14ac:dyDescent="0.25">
      <c r="B35">
        <f t="shared" ref="B35:B38" si="11">C9/E9</f>
        <v>0.44910941475826971</v>
      </c>
      <c r="C35">
        <f t="shared" ref="C35:C38" si="12">L9/N9</f>
        <v>0.43738977072310403</v>
      </c>
      <c r="D35">
        <f t="shared" ref="D35:D38" si="13">L33/N33</f>
        <v>0.1086053412462908</v>
      </c>
      <c r="J35" t="s">
        <v>7</v>
      </c>
      <c r="K35">
        <f>2.12*10^7</f>
        <v>21200000</v>
      </c>
      <c r="L35">
        <f>5.32*10^6</f>
        <v>5320000</v>
      </c>
      <c r="M35">
        <f>2.62*10^7</f>
        <v>26200000</v>
      </c>
      <c r="N35">
        <f>1.23*10^7</f>
        <v>12300000</v>
      </c>
      <c r="O35">
        <v>7.22</v>
      </c>
    </row>
    <row r="36" spans="1:15" x14ac:dyDescent="0.25">
      <c r="B36">
        <f t="shared" si="11"/>
        <v>0.35701906412478335</v>
      </c>
      <c r="C36">
        <f t="shared" si="12"/>
        <v>0.26766917293233083</v>
      </c>
      <c r="D36">
        <f t="shared" si="13"/>
        <v>0.68432203389830504</v>
      </c>
      <c r="J36" t="s">
        <v>6</v>
      </c>
      <c r="K36">
        <f>1.02*10^7</f>
        <v>10200000</v>
      </c>
      <c r="L36">
        <f>5.54*10^5</f>
        <v>554000</v>
      </c>
      <c r="M36">
        <f>2.03*10^7</f>
        <v>20299999.999999996</v>
      </c>
      <c r="N36">
        <f>2.17*10^6</f>
        <v>2170000</v>
      </c>
    </row>
    <row r="37" spans="1:15" x14ac:dyDescent="0.25">
      <c r="B37">
        <f t="shared" si="11"/>
        <v>0.58355437665782495</v>
      </c>
      <c r="C37">
        <f t="shared" si="12"/>
        <v>0.24113924050632912</v>
      </c>
      <c r="D37">
        <f t="shared" si="13"/>
        <v>0.43252032520325201</v>
      </c>
    </row>
    <row r="38" spans="1:15" x14ac:dyDescent="0.25">
      <c r="B38">
        <f t="shared" si="11"/>
        <v>0.23946784922394679</v>
      </c>
      <c r="C38">
        <f t="shared" si="12"/>
        <v>0.41754385964912283</v>
      </c>
      <c r="D38">
        <f t="shared" si="13"/>
        <v>0.25529953917050691</v>
      </c>
    </row>
    <row r="41" spans="1:15" x14ac:dyDescent="0.25">
      <c r="B41" t="s">
        <v>1</v>
      </c>
      <c r="C41" t="s">
        <v>2</v>
      </c>
      <c r="D41" t="s">
        <v>3</v>
      </c>
      <c r="E41" t="s">
        <v>4</v>
      </c>
      <c r="K41">
        <f>K32/N32</f>
        <v>4.5583424209378407</v>
      </c>
      <c r="L41">
        <f>L32/N32</f>
        <v>5.8560523446019627E-2</v>
      </c>
      <c r="M41">
        <f>M32/N32</f>
        <v>3.2388222464558347</v>
      </c>
    </row>
    <row r="42" spans="1:15" x14ac:dyDescent="0.25">
      <c r="A42" t="s">
        <v>5</v>
      </c>
      <c r="K42">
        <f>K33/N33</f>
        <v>5.905044510385757</v>
      </c>
      <c r="L42">
        <f t="shared" ref="L42:L45" si="14">L33/N33</f>
        <v>0.1086053412462908</v>
      </c>
      <c r="M42">
        <f t="shared" ref="M42:M44" si="15">M33/N33</f>
        <v>9.7329376854599392</v>
      </c>
    </row>
    <row r="43" spans="1:15" x14ac:dyDescent="0.25">
      <c r="A43" t="s">
        <v>6</v>
      </c>
      <c r="B43">
        <f>B12/B3*100</f>
        <v>39.68</v>
      </c>
      <c r="K43">
        <f>K34/N34</f>
        <v>20.021186440677965</v>
      </c>
      <c r="L43">
        <f t="shared" si="14"/>
        <v>0.68432203389830504</v>
      </c>
      <c r="M43">
        <f t="shared" si="15"/>
        <v>21.822033898305083</v>
      </c>
    </row>
    <row r="44" spans="1:15" x14ac:dyDescent="0.25">
      <c r="A44" t="s">
        <v>7</v>
      </c>
      <c r="K44">
        <f>K35/N35</f>
        <v>1.7235772357723578</v>
      </c>
      <c r="L44">
        <f t="shared" si="14"/>
        <v>0.43252032520325201</v>
      </c>
      <c r="M44">
        <f t="shared" si="15"/>
        <v>2.1300813008130079</v>
      </c>
    </row>
    <row r="45" spans="1:15" x14ac:dyDescent="0.25">
      <c r="A45" t="s">
        <v>8</v>
      </c>
      <c r="K45">
        <f>K36/N36</f>
        <v>4.7004608294930872</v>
      </c>
      <c r="L45">
        <f t="shared" si="14"/>
        <v>0.25529953917050691</v>
      </c>
      <c r="M45">
        <f>M36/N36</f>
        <v>9.3548387096774182</v>
      </c>
    </row>
    <row r="46" spans="1:15" x14ac:dyDescent="0.25">
      <c r="A46" t="s">
        <v>9</v>
      </c>
    </row>
    <row r="49" spans="1:5" x14ac:dyDescent="0.25">
      <c r="B49" t="s">
        <v>11</v>
      </c>
      <c r="C49" t="s">
        <v>10</v>
      </c>
    </row>
    <row r="50" spans="1:5" x14ac:dyDescent="0.25">
      <c r="A50" t="s">
        <v>5</v>
      </c>
      <c r="B50">
        <f>B3/D3</f>
        <v>0.59241706161137442</v>
      </c>
      <c r="C50">
        <f>C3/E3</f>
        <v>0.17803837953091683</v>
      </c>
    </row>
    <row r="51" spans="1:5" x14ac:dyDescent="0.25">
      <c r="A51" t="s">
        <v>6</v>
      </c>
      <c r="B51">
        <f>B12/D12</f>
        <v>0.42758620689655175</v>
      </c>
      <c r="C51">
        <f>C12/E7</f>
        <v>1.2286689419795223</v>
      </c>
    </row>
    <row r="52" spans="1:5" x14ac:dyDescent="0.25">
      <c r="A52" t="s">
        <v>7</v>
      </c>
    </row>
    <row r="53" spans="1:5" x14ac:dyDescent="0.25">
      <c r="A53" t="s">
        <v>8</v>
      </c>
    </row>
    <row r="54" spans="1:5" x14ac:dyDescent="0.25">
      <c r="A54" t="s">
        <v>9</v>
      </c>
    </row>
    <row r="57" spans="1:5" x14ac:dyDescent="0.25">
      <c r="B57" t="s">
        <v>1</v>
      </c>
      <c r="C57" t="s">
        <v>2</v>
      </c>
      <c r="D57" t="s">
        <v>3</v>
      </c>
      <c r="E57" t="s">
        <v>4</v>
      </c>
    </row>
    <row r="58" spans="1:5" x14ac:dyDescent="0.25">
      <c r="A58" t="s">
        <v>5</v>
      </c>
      <c r="B58">
        <v>12500000</v>
      </c>
      <c r="C58">
        <v>835000</v>
      </c>
      <c r="D58">
        <v>21100000</v>
      </c>
      <c r="E58">
        <v>4690000</v>
      </c>
    </row>
    <row r="59" spans="1:5" x14ac:dyDescent="0.25">
      <c r="A59" t="s">
        <v>6</v>
      </c>
    </row>
    <row r="60" spans="1:5" x14ac:dyDescent="0.25">
      <c r="A60" t="s">
        <v>7</v>
      </c>
    </row>
    <row r="61" spans="1:5" x14ac:dyDescent="0.25">
      <c r="A61" t="s">
        <v>8</v>
      </c>
    </row>
    <row r="62" spans="1:5" x14ac:dyDescent="0.25">
      <c r="A62" t="s">
        <v>9</v>
      </c>
    </row>
    <row r="65" spans="1:5" x14ac:dyDescent="0.25">
      <c r="B65">
        <f>B3-B12</f>
        <v>7540000</v>
      </c>
      <c r="C65">
        <f>D3-D12</f>
        <v>9500000</v>
      </c>
    </row>
    <row r="70" spans="1:5" x14ac:dyDescent="0.25">
      <c r="B70" t="s">
        <v>1</v>
      </c>
      <c r="C70" t="s">
        <v>2</v>
      </c>
      <c r="D70" t="s">
        <v>3</v>
      </c>
      <c r="E70" t="s">
        <v>4</v>
      </c>
    </row>
    <row r="71" spans="1:5" x14ac:dyDescent="0.25">
      <c r="A71" t="s">
        <v>20</v>
      </c>
      <c r="B71">
        <f>8.8*10^7</f>
        <v>88000000</v>
      </c>
      <c r="C71">
        <f>5.01*10^6</f>
        <v>5010000</v>
      </c>
      <c r="D71">
        <f>1.25*10^8</f>
        <v>125000000</v>
      </c>
      <c r="E71">
        <f>3*10^7</f>
        <v>30000000</v>
      </c>
    </row>
    <row r="72" spans="1:5" x14ac:dyDescent="0.25">
      <c r="A72" t="s">
        <v>21</v>
      </c>
      <c r="B72">
        <f>7.82*10^7</f>
        <v>78200000</v>
      </c>
    </row>
  </sheetData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H5" sqref="H5"/>
    </sheetView>
  </sheetViews>
  <sheetFormatPr defaultRowHeight="15" x14ac:dyDescent="0.25"/>
  <sheetData>
    <row r="1" spans="1:11" x14ac:dyDescent="0.25">
      <c r="A1" t="s">
        <v>24</v>
      </c>
      <c r="B1" t="s">
        <v>25</v>
      </c>
      <c r="C1" t="s">
        <v>25</v>
      </c>
      <c r="H1" t="s">
        <v>24</v>
      </c>
    </row>
    <row r="2" spans="1:11" x14ac:dyDescent="0.25">
      <c r="A2">
        <v>2</v>
      </c>
      <c r="C2" t="s">
        <v>26</v>
      </c>
      <c r="D2" t="s">
        <v>27</v>
      </c>
      <c r="E2" t="s">
        <v>28</v>
      </c>
      <c r="F2" t="s">
        <v>29</v>
      </c>
      <c r="G2">
        <v>2.8</v>
      </c>
      <c r="H2" t="s">
        <v>26</v>
      </c>
      <c r="I2" t="s">
        <v>27</v>
      </c>
      <c r="J2" t="s">
        <v>28</v>
      </c>
      <c r="K2" t="s">
        <v>29</v>
      </c>
    </row>
    <row r="3" spans="1:11" x14ac:dyDescent="0.25">
      <c r="B3" t="s">
        <v>23</v>
      </c>
      <c r="C3">
        <f>3.47*10^7</f>
        <v>34700000</v>
      </c>
      <c r="D3">
        <f>2.18*10^7</f>
        <v>21800000</v>
      </c>
      <c r="E3">
        <f>1.11*10^6</f>
        <v>1110000</v>
      </c>
      <c r="F3">
        <f>3.14*10^6</f>
        <v>3140000</v>
      </c>
      <c r="H3">
        <f>4.74*10^7</f>
        <v>47400000</v>
      </c>
      <c r="I3">
        <f>3.07*10^7</f>
        <v>30700000</v>
      </c>
      <c r="J3">
        <f>2.28*10^6</f>
        <v>2280000</v>
      </c>
      <c r="K3">
        <f>6.14*10^6</f>
        <v>6140000</v>
      </c>
    </row>
    <row r="4" spans="1:11" x14ac:dyDescent="0.25">
      <c r="B4" t="s">
        <v>30</v>
      </c>
      <c r="C4">
        <v>32700000</v>
      </c>
      <c r="D4">
        <v>39600000</v>
      </c>
      <c r="E4">
        <f>2.09*10^6</f>
        <v>2089999.9999999998</v>
      </c>
      <c r="F4">
        <f>9.77*10^6</f>
        <v>9770000</v>
      </c>
      <c r="H4">
        <f>6.91*10^7</f>
        <v>69100000</v>
      </c>
    </row>
    <row r="8" spans="1:11" x14ac:dyDescent="0.25">
      <c r="C8">
        <f>C3/D3</f>
        <v>1.5917431192660549</v>
      </c>
      <c r="E8">
        <f>E3/F3</f>
        <v>0.35350318471337577</v>
      </c>
      <c r="H8">
        <f>H3/I3</f>
        <v>1.5439739413680782</v>
      </c>
      <c r="J8">
        <f>J3/K3</f>
        <v>0.37133550488599348</v>
      </c>
    </row>
    <row r="9" spans="1:11" x14ac:dyDescent="0.25">
      <c r="C9">
        <f>C4/D4</f>
        <v>0.8257575757575758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6ohda</vt:lpstr>
      <vt:lpstr>rotenone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Sarah NICKELS</cp:lastModifiedBy>
  <cp:lastPrinted>2019-03-25T14:12:08Z</cp:lastPrinted>
  <dcterms:created xsi:type="dcterms:W3CDTF">2019-03-21T15:23:51Z</dcterms:created>
  <dcterms:modified xsi:type="dcterms:W3CDTF">2019-05-23T16:04:45Z</dcterms:modified>
</cp:coreProperties>
</file>