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hD\EM data Munster\New pictures for quantifications\"/>
    </mc:Choice>
  </mc:AlternateContent>
  <bookViews>
    <workbookView xWindow="0" yWindow="0" windowWidth="20490" windowHeight="7620"/>
  </bookViews>
  <sheets>
    <sheet name="Endothelial cells" sheetId="1" r:id="rId1"/>
    <sheet name="Summary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2" i="1" l="1"/>
  <c r="K153" i="1"/>
  <c r="K151" i="1"/>
  <c r="K150" i="1"/>
  <c r="K149" i="1"/>
  <c r="K148" i="1"/>
  <c r="K147" i="1"/>
  <c r="K146" i="1"/>
  <c r="J147" i="1"/>
  <c r="J148" i="1"/>
  <c r="J149" i="1"/>
  <c r="J150" i="1"/>
  <c r="J151" i="1"/>
  <c r="J152" i="1"/>
  <c r="J153" i="1"/>
  <c r="J146" i="1"/>
  <c r="I147" i="1"/>
  <c r="I148" i="1"/>
  <c r="I149" i="1"/>
  <c r="I150" i="1"/>
  <c r="I151" i="1"/>
  <c r="I152" i="1"/>
  <c r="I153" i="1"/>
  <c r="I146" i="1"/>
  <c r="H152" i="1"/>
  <c r="H153" i="1"/>
  <c r="H151" i="1"/>
  <c r="H150" i="1"/>
  <c r="H149" i="1"/>
  <c r="H148" i="1"/>
  <c r="H147" i="1"/>
  <c r="H146" i="1"/>
  <c r="G153" i="1"/>
  <c r="G152" i="1"/>
  <c r="G151" i="1"/>
  <c r="G150" i="1"/>
  <c r="G149" i="1"/>
  <c r="G148" i="1"/>
  <c r="G147" i="1"/>
  <c r="G146" i="1"/>
  <c r="F147" i="1"/>
  <c r="F148" i="1"/>
  <c r="F149" i="1"/>
  <c r="F150" i="1"/>
  <c r="F151" i="1"/>
  <c r="F152" i="1"/>
  <c r="F153" i="1"/>
  <c r="F146" i="1"/>
  <c r="E147" i="1"/>
  <c r="E148" i="1"/>
  <c r="E149" i="1"/>
  <c r="E150" i="1"/>
  <c r="E151" i="1"/>
  <c r="E152" i="1"/>
  <c r="E153" i="1"/>
  <c r="E146" i="1"/>
  <c r="J134" i="1" l="1"/>
  <c r="K38" i="1"/>
  <c r="B134" i="1"/>
  <c r="M134" i="1"/>
  <c r="M133" i="1"/>
  <c r="K133" i="1"/>
  <c r="J133" i="1"/>
  <c r="K134" i="1"/>
  <c r="G133" i="1"/>
  <c r="F133" i="1"/>
  <c r="F60" i="1"/>
  <c r="M61" i="1"/>
  <c r="M60" i="1"/>
  <c r="K132" i="1"/>
  <c r="J132" i="1"/>
  <c r="K131" i="1"/>
  <c r="J131" i="1"/>
  <c r="J129" i="1"/>
  <c r="J130" i="1"/>
  <c r="K130" i="1"/>
  <c r="K129" i="1"/>
  <c r="J128" i="1"/>
  <c r="K128" i="1"/>
  <c r="J127" i="1"/>
  <c r="K127" i="1"/>
  <c r="K125" i="1"/>
  <c r="K126" i="1"/>
  <c r="J125" i="1"/>
  <c r="J126" i="1"/>
  <c r="J124" i="1"/>
  <c r="K124" i="1"/>
  <c r="J123" i="1"/>
  <c r="K123" i="1"/>
  <c r="K122" i="1"/>
  <c r="J122" i="1"/>
  <c r="K121" i="1"/>
  <c r="J121" i="1"/>
  <c r="K120" i="1"/>
  <c r="J120" i="1"/>
  <c r="J119" i="1"/>
  <c r="K119" i="1"/>
  <c r="J118" i="1"/>
  <c r="K118" i="1"/>
  <c r="K117" i="1"/>
  <c r="J117" i="1"/>
  <c r="J116" i="1"/>
  <c r="K116" i="1"/>
  <c r="K115" i="1"/>
  <c r="J115" i="1"/>
  <c r="J114" i="1"/>
  <c r="K114" i="1"/>
  <c r="L114" i="1" s="1"/>
  <c r="M114" i="1" s="1"/>
  <c r="J113" i="1"/>
  <c r="K113" i="1"/>
  <c r="J112" i="1"/>
  <c r="K112" i="1"/>
  <c r="L112" i="1" s="1"/>
  <c r="M112" i="1" s="1"/>
  <c r="J111" i="1"/>
  <c r="K111" i="1"/>
  <c r="J110" i="1"/>
  <c r="K110" i="1"/>
  <c r="L110" i="1" s="1"/>
  <c r="M110" i="1" s="1"/>
  <c r="J109" i="1"/>
  <c r="K109" i="1"/>
  <c r="L109" i="1" s="1"/>
  <c r="M109" i="1" s="1"/>
  <c r="K107" i="1"/>
  <c r="K108" i="1"/>
  <c r="J108" i="1"/>
  <c r="L108" i="1" s="1"/>
  <c r="M108" i="1" s="1"/>
  <c r="J107" i="1"/>
  <c r="L107" i="1" s="1"/>
  <c r="M107" i="1" s="1"/>
  <c r="K106" i="1"/>
  <c r="J106" i="1"/>
  <c r="L106" i="1" s="1"/>
  <c r="M106" i="1" s="1"/>
  <c r="J105" i="1"/>
  <c r="K105" i="1"/>
  <c r="J104" i="1"/>
  <c r="K104" i="1"/>
  <c r="M99" i="1"/>
  <c r="M100" i="1"/>
  <c r="M101" i="1"/>
  <c r="K99" i="1"/>
  <c r="K100" i="1"/>
  <c r="K101" i="1"/>
  <c r="K102" i="1"/>
  <c r="K103" i="1"/>
  <c r="J99" i="1"/>
  <c r="J100" i="1"/>
  <c r="J101" i="1"/>
  <c r="J102" i="1"/>
  <c r="L102" i="1" s="1"/>
  <c r="M102" i="1" s="1"/>
  <c r="J103" i="1"/>
  <c r="L103" i="1" s="1"/>
  <c r="M103" i="1" s="1"/>
  <c r="K97" i="1"/>
  <c r="K98" i="1"/>
  <c r="J98" i="1"/>
  <c r="L98" i="1" s="1"/>
  <c r="M98" i="1" s="1"/>
  <c r="J97" i="1"/>
  <c r="K96" i="1"/>
  <c r="J96" i="1"/>
  <c r="K94" i="1"/>
  <c r="K95" i="1"/>
  <c r="J95" i="1"/>
  <c r="L95" i="1" s="1"/>
  <c r="M95" i="1" s="1"/>
  <c r="J94" i="1"/>
  <c r="K93" i="1"/>
  <c r="J93" i="1"/>
  <c r="L93" i="1" s="1"/>
  <c r="M93" i="1" s="1"/>
  <c r="J92" i="1"/>
  <c r="L92" i="1" s="1"/>
  <c r="M92" i="1" s="1"/>
  <c r="K92" i="1"/>
  <c r="J91" i="1"/>
  <c r="K91" i="1"/>
  <c r="J90" i="1"/>
  <c r="K90" i="1"/>
  <c r="J89" i="1"/>
  <c r="K89" i="1"/>
  <c r="J88" i="1"/>
  <c r="K88" i="1"/>
  <c r="K87" i="1"/>
  <c r="J87" i="1"/>
  <c r="L87" i="1" s="1"/>
  <c r="M87" i="1" s="1"/>
  <c r="J86" i="1"/>
  <c r="K86" i="1"/>
  <c r="J85" i="1"/>
  <c r="K85" i="1"/>
  <c r="J84" i="1"/>
  <c r="K84" i="1"/>
  <c r="J83" i="1"/>
  <c r="K83" i="1"/>
  <c r="K82" i="1"/>
  <c r="J82" i="1"/>
  <c r="L82" i="1" s="1"/>
  <c r="M82" i="1" s="1"/>
  <c r="L97" i="1" l="1"/>
  <c r="M97" i="1" s="1"/>
  <c r="L105" i="1"/>
  <c r="M105" i="1" s="1"/>
  <c r="L94" i="1"/>
  <c r="M94" i="1" s="1"/>
  <c r="L96" i="1"/>
  <c r="M96" i="1" s="1"/>
  <c r="L104" i="1"/>
  <c r="M104" i="1" s="1"/>
  <c r="L84" i="1"/>
  <c r="M84" i="1" s="1"/>
  <c r="L86" i="1"/>
  <c r="M86" i="1" s="1"/>
  <c r="L88" i="1"/>
  <c r="M88" i="1" s="1"/>
  <c r="L111" i="1"/>
  <c r="M111" i="1" s="1"/>
  <c r="L113" i="1"/>
  <c r="M113" i="1" s="1"/>
  <c r="L83" i="1"/>
  <c r="M83" i="1" s="1"/>
  <c r="L90" i="1"/>
  <c r="M90" i="1" s="1"/>
  <c r="L89" i="1"/>
  <c r="M89" i="1" s="1"/>
  <c r="L91" i="1"/>
  <c r="M91" i="1" s="1"/>
  <c r="B61" i="1"/>
  <c r="G60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J59" i="1"/>
  <c r="J58" i="1"/>
  <c r="J57" i="1"/>
  <c r="J56" i="1"/>
  <c r="J55" i="1"/>
  <c r="J54" i="1"/>
  <c r="J53" i="1"/>
  <c r="L53" i="1" s="1"/>
  <c r="M53" i="1" s="1"/>
  <c r="L57" i="1" l="1"/>
  <c r="M57" i="1" s="1"/>
  <c r="L58" i="1"/>
  <c r="M58" i="1" s="1"/>
  <c r="L54" i="1"/>
  <c r="M54" i="1" s="1"/>
  <c r="L55" i="1"/>
  <c r="M55" i="1" s="1"/>
  <c r="L59" i="1"/>
  <c r="M59" i="1" s="1"/>
  <c r="L56" i="1"/>
  <c r="M56" i="1" s="1"/>
  <c r="J52" i="1"/>
  <c r="L52" i="1" s="1"/>
  <c r="M52" i="1" s="1"/>
  <c r="J51" i="1"/>
  <c r="L51" i="1" s="1"/>
  <c r="M51" i="1" s="1"/>
  <c r="J50" i="1"/>
  <c r="L50" i="1" s="1"/>
  <c r="M50" i="1" s="1"/>
  <c r="J49" i="1"/>
  <c r="L49" i="1" s="1"/>
  <c r="M49" i="1" s="1"/>
  <c r="J48" i="1"/>
  <c r="L48" i="1" s="1"/>
  <c r="M48" i="1" s="1"/>
  <c r="J47" i="1"/>
  <c r="L47" i="1" s="1"/>
  <c r="M47" i="1" s="1"/>
  <c r="J46" i="1"/>
  <c r="L46" i="1" s="1"/>
  <c r="M46" i="1" s="1"/>
  <c r="J45" i="1"/>
  <c r="L45" i="1" s="1"/>
  <c r="M45" i="1" s="1"/>
  <c r="J44" i="1"/>
  <c r="L44" i="1" s="1"/>
  <c r="M44" i="1" s="1"/>
  <c r="J43" i="1"/>
  <c r="L43" i="1" s="1"/>
  <c r="M43" i="1" s="1"/>
  <c r="K40" i="1"/>
  <c r="L40" i="1" s="1"/>
  <c r="M40" i="1" s="1"/>
  <c r="K41" i="1"/>
  <c r="K42" i="1"/>
  <c r="J42" i="1"/>
  <c r="J41" i="1"/>
  <c r="J40" i="1"/>
  <c r="J39" i="1"/>
  <c r="K39" i="1"/>
  <c r="K31" i="1"/>
  <c r="K32" i="1"/>
  <c r="K33" i="1"/>
  <c r="K34" i="1"/>
  <c r="K35" i="1"/>
  <c r="K36" i="1"/>
  <c r="K37" i="1"/>
  <c r="J38" i="1"/>
  <c r="J36" i="1"/>
  <c r="J37" i="1"/>
  <c r="J35" i="1"/>
  <c r="J34" i="1"/>
  <c r="J33" i="1"/>
  <c r="J32" i="1"/>
  <c r="J31" i="1"/>
  <c r="J30" i="1"/>
  <c r="K30" i="1"/>
  <c r="L33" i="1" l="1"/>
  <c r="M33" i="1" s="1"/>
  <c r="L35" i="1"/>
  <c r="M35" i="1" s="1"/>
  <c r="L31" i="1"/>
  <c r="M31" i="1" s="1"/>
  <c r="L37" i="1"/>
  <c r="M37" i="1" s="1"/>
  <c r="L36" i="1"/>
  <c r="M36" i="1" s="1"/>
  <c r="L32" i="1"/>
  <c r="M32" i="1" s="1"/>
  <c r="L41" i="1"/>
  <c r="M41" i="1" s="1"/>
  <c r="L38" i="1"/>
  <c r="M38" i="1" s="1"/>
  <c r="L34" i="1"/>
  <c r="M34" i="1" s="1"/>
  <c r="L39" i="1"/>
  <c r="M39" i="1" s="1"/>
  <c r="L42" i="1"/>
  <c r="M42" i="1" s="1"/>
  <c r="L30" i="1"/>
  <c r="M30" i="1" s="1"/>
  <c r="F134" i="1"/>
  <c r="K78" i="1"/>
  <c r="K79" i="1"/>
  <c r="K80" i="1"/>
  <c r="K81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J72" i="1"/>
  <c r="J64" i="1"/>
  <c r="J65" i="1"/>
  <c r="J66" i="1"/>
  <c r="J67" i="1"/>
  <c r="J68" i="1"/>
  <c r="J69" i="1"/>
  <c r="J70" i="1"/>
  <c r="J71" i="1"/>
  <c r="J73" i="1"/>
  <c r="J74" i="1"/>
  <c r="J75" i="1"/>
  <c r="J76" i="1"/>
  <c r="J77" i="1"/>
  <c r="J78" i="1"/>
  <c r="J79" i="1"/>
  <c r="J80" i="1"/>
  <c r="J81" i="1"/>
  <c r="J6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4" i="1"/>
  <c r="L16" i="1" l="1"/>
  <c r="K60" i="1"/>
  <c r="L28" i="1"/>
  <c r="M28" i="1" s="1"/>
  <c r="L24" i="1"/>
  <c r="L20" i="1"/>
  <c r="L12" i="1"/>
  <c r="L8" i="1"/>
  <c r="L69" i="1"/>
  <c r="L65" i="1"/>
  <c r="L78" i="1"/>
  <c r="L66" i="1"/>
  <c r="L70" i="1"/>
  <c r="L74" i="1"/>
  <c r="L81" i="1"/>
  <c r="M81" i="1" s="1"/>
  <c r="L63" i="1"/>
  <c r="L67" i="1"/>
  <c r="L71" i="1"/>
  <c r="L75" i="1"/>
  <c r="L80" i="1"/>
  <c r="J60" i="1"/>
  <c r="J61" i="1" s="1"/>
  <c r="K61" i="1" s="1"/>
  <c r="L64" i="1"/>
  <c r="L68" i="1"/>
  <c r="L72" i="1"/>
  <c r="L76" i="1"/>
  <c r="L79" i="1"/>
  <c r="L73" i="1"/>
  <c r="L77" i="1"/>
  <c r="L29" i="1"/>
  <c r="M29" i="1" s="1"/>
  <c r="L25" i="1"/>
  <c r="L21" i="1"/>
  <c r="L17" i="1"/>
  <c r="L13" i="1"/>
  <c r="L9" i="1"/>
  <c r="L5" i="1"/>
  <c r="L27" i="1"/>
  <c r="M27" i="1" s="1"/>
  <c r="L23" i="1"/>
  <c r="L19" i="1"/>
  <c r="L15" i="1"/>
  <c r="L11" i="1"/>
  <c r="L7" i="1"/>
  <c r="F61" i="1"/>
  <c r="L4" i="1"/>
  <c r="L26" i="1"/>
  <c r="L22" i="1"/>
  <c r="L18" i="1"/>
  <c r="L14" i="1"/>
  <c r="L10" i="1"/>
  <c r="L6" i="1"/>
  <c r="M80" i="1" l="1"/>
  <c r="M77" i="1"/>
  <c r="M76" i="1"/>
  <c r="M73" i="1"/>
  <c r="M65" i="1"/>
  <c r="M72" i="1"/>
  <c r="M67" i="1"/>
  <c r="M26" i="1"/>
  <c r="M20" i="1"/>
  <c r="M12" i="1"/>
  <c r="M6" i="1"/>
  <c r="G61" i="1" l="1"/>
  <c r="G134" i="1"/>
  <c r="M4" i="1" l="1"/>
</calcChain>
</file>

<file path=xl/sharedStrings.xml><?xml version="1.0" encoding="utf-8"?>
<sst xmlns="http://schemas.openxmlformats.org/spreadsheetml/2006/main" count="159" uniqueCount="128">
  <si>
    <t>Sample</t>
  </si>
  <si>
    <t>Overview –picture number</t>
  </si>
  <si>
    <t>Details</t>
  </si>
  <si>
    <t>Autophagic vacuole</t>
  </si>
  <si>
    <t>Remarks</t>
  </si>
  <si>
    <t>25-26</t>
  </si>
  <si>
    <t>28-29-30-31</t>
  </si>
  <si>
    <t>Mainly endo-lyososomal profiles (!)</t>
  </si>
  <si>
    <t>33-34-35-</t>
  </si>
  <si>
    <t>37-38-39</t>
  </si>
  <si>
    <t>41-42-43-44</t>
  </si>
  <si>
    <t>53-54-55</t>
  </si>
  <si>
    <t>63-64</t>
  </si>
  <si>
    <t>75-76-77-78</t>
  </si>
  <si>
    <t>In total</t>
  </si>
  <si>
    <t>9-10-11-12-13</t>
  </si>
  <si>
    <t>15-16-17-18-19-20-21</t>
  </si>
  <si>
    <t>30-31-32</t>
  </si>
  <si>
    <t>34-35-36</t>
  </si>
  <si>
    <t>38-39</t>
  </si>
  <si>
    <t>41-42-43</t>
  </si>
  <si>
    <t>45-46</t>
  </si>
  <si>
    <t>49-50</t>
  </si>
  <si>
    <t>52-53-54-55</t>
  </si>
  <si>
    <t>57-58-59</t>
  </si>
  <si>
    <t>24-25-26-27</t>
  </si>
  <si>
    <t>29-30</t>
  </si>
  <si>
    <t>35-36</t>
  </si>
  <si>
    <t>3-4-5-6</t>
  </si>
  <si>
    <t>52-53</t>
  </si>
  <si>
    <t>64-65-66-67-68-69-70</t>
  </si>
  <si>
    <t>P100 A5-scraped</t>
  </si>
  <si>
    <t>P100 A11-flat</t>
  </si>
  <si>
    <t>P100C5-scraped</t>
  </si>
  <si>
    <t>P100C14-flat</t>
  </si>
  <si>
    <t>Full cell area (based on overview)</t>
  </si>
  <si>
    <t>Ratio</t>
  </si>
  <si>
    <t>%</t>
  </si>
  <si>
    <r>
      <t>13-</t>
    </r>
    <r>
      <rPr>
        <sz val="11"/>
        <color rgb="FFFF0000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-15-16</t>
    </r>
  </si>
  <si>
    <r>
      <rPr>
        <sz val="11"/>
        <color rgb="FFFF0000"/>
        <rFont val="Calibri"/>
        <family val="2"/>
        <scheme val="minor"/>
      </rPr>
      <t>19-20</t>
    </r>
    <r>
      <rPr>
        <sz val="11"/>
        <color theme="1"/>
        <rFont val="Calibri"/>
        <family val="2"/>
        <scheme val="minor"/>
      </rPr>
      <t>-21-22-23</t>
    </r>
  </si>
  <si>
    <r>
      <t>47-48-49-</t>
    </r>
    <r>
      <rPr>
        <sz val="11"/>
        <color rgb="FFFF0000"/>
        <rFont val="Calibri"/>
        <family val="2"/>
        <scheme val="minor"/>
      </rPr>
      <t>50</t>
    </r>
  </si>
  <si>
    <r>
      <rPr>
        <sz val="11"/>
        <color rgb="FFFF0000"/>
        <rFont val="Calibri"/>
        <family val="2"/>
        <scheme val="minor"/>
      </rPr>
      <t>25</t>
    </r>
    <r>
      <rPr>
        <sz val="11"/>
        <color theme="1"/>
        <rFont val="Calibri"/>
        <family val="2"/>
        <scheme val="minor"/>
      </rPr>
      <t>-26-27-28</t>
    </r>
  </si>
  <si>
    <t>2 and 3</t>
  </si>
  <si>
    <t>5 and 6</t>
  </si>
  <si>
    <r>
      <rPr>
        <sz val="11"/>
        <color rgb="FFFF0000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and 9 and 10</t>
    </r>
  </si>
  <si>
    <t>12 and 13 and 14</t>
  </si>
  <si>
    <r>
      <rPr>
        <sz val="11"/>
        <color rgb="FFFF0000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>-21-22</t>
    </r>
  </si>
  <si>
    <r>
      <t>47-</t>
    </r>
    <r>
      <rPr>
        <sz val="11"/>
        <color rgb="FFFF0000"/>
        <rFont val="Calibri"/>
        <family val="2"/>
        <scheme val="minor"/>
      </rPr>
      <t>48</t>
    </r>
    <r>
      <rPr>
        <sz val="11"/>
        <color theme="1"/>
        <rFont val="Calibri"/>
        <family val="2"/>
        <scheme val="minor"/>
      </rPr>
      <t>-49</t>
    </r>
  </si>
  <si>
    <r>
      <rPr>
        <sz val="11"/>
        <color rgb="FFFF0000"/>
        <rFont val="Calibri"/>
        <family val="2"/>
        <scheme val="minor"/>
      </rPr>
      <t>51</t>
    </r>
    <r>
      <rPr>
        <sz val="11"/>
        <color theme="1"/>
        <rFont val="Calibri"/>
        <family val="2"/>
        <scheme val="minor"/>
      </rPr>
      <t>-52-53</t>
    </r>
  </si>
  <si>
    <r>
      <t>30-31-32-33-34-</t>
    </r>
    <r>
      <rPr>
        <sz val="11"/>
        <color rgb="FFFF0000"/>
        <rFont val="Calibri"/>
        <family val="2"/>
        <scheme val="minor"/>
      </rPr>
      <t>35</t>
    </r>
  </si>
  <si>
    <r>
      <rPr>
        <sz val="11"/>
        <color rgb="FFFF0000"/>
        <rFont val="Calibri"/>
        <family val="2"/>
        <scheme val="minor"/>
      </rPr>
      <t>59</t>
    </r>
    <r>
      <rPr>
        <sz val="11"/>
        <color theme="1"/>
        <rFont val="Calibri"/>
        <family val="2"/>
        <scheme val="minor"/>
      </rPr>
      <t>-60-61</t>
    </r>
  </si>
  <si>
    <t>WT</t>
  </si>
  <si>
    <t>MUT</t>
  </si>
  <si>
    <t>Vacuole area</t>
  </si>
  <si>
    <t>Total cell areas</t>
  </si>
  <si>
    <t>total area of autphagic profiles/total analyzed cell areas</t>
  </si>
  <si>
    <t>Scale bar length</t>
  </si>
  <si>
    <t>Scale bare in picture (um)</t>
  </si>
  <si>
    <t>Corrected full cell area</t>
  </si>
  <si>
    <t>Corrected vacuole area</t>
  </si>
  <si>
    <t>min.15 cell profiles</t>
  </si>
  <si>
    <t>scraped</t>
  </si>
  <si>
    <t>P100A5-levelB-1</t>
  </si>
  <si>
    <t>53 total</t>
  </si>
  <si>
    <t>1 (second cell)</t>
  </si>
  <si>
    <t>3 (second cell)</t>
  </si>
  <si>
    <t>8 (second cell)</t>
  </si>
  <si>
    <t>22-23</t>
  </si>
  <si>
    <t>26 (second cell)</t>
  </si>
  <si>
    <t>34-35</t>
  </si>
  <si>
    <t>36 total</t>
  </si>
  <si>
    <t>min.13 cell profiles</t>
  </si>
  <si>
    <t>P100A7</t>
  </si>
  <si>
    <t>56 profiles</t>
  </si>
  <si>
    <t>P100-C7-level B</t>
  </si>
  <si>
    <t>27 total</t>
  </si>
  <si>
    <t>min. 7 cell profiles</t>
  </si>
  <si>
    <t>Same block as before</t>
  </si>
  <si>
    <t>sectioned 50um deeper</t>
  </si>
  <si>
    <t>New sample block</t>
  </si>
  <si>
    <t xml:space="preserve">a lot of cells are lysed or </t>
  </si>
  <si>
    <t xml:space="preserve">opened up - which I can not </t>
  </si>
  <si>
    <t>image (mutant effect?)</t>
  </si>
  <si>
    <t>7 (same cell)</t>
  </si>
  <si>
    <t>78 total</t>
  </si>
  <si>
    <t>min. 20 cell profiles</t>
  </si>
  <si>
    <t>I had to take almost every</t>
  </si>
  <si>
    <t>cell profile to get numbers</t>
  </si>
  <si>
    <t xml:space="preserve">and some of the profiles are </t>
  </si>
  <si>
    <t>severely affected! (14-18-69-71,</t>
  </si>
  <si>
    <t>no entire cell profile (grid-bar!)</t>
  </si>
  <si>
    <t>but full of autophagic vacuoles</t>
  </si>
  <si>
    <t>P100-C9</t>
  </si>
  <si>
    <t>5 (second cell)</t>
  </si>
  <si>
    <t>11 (second cell)</t>
  </si>
  <si>
    <t>AV only</t>
  </si>
  <si>
    <t>19 (second cell)</t>
  </si>
  <si>
    <t>25 (second cell)</t>
  </si>
  <si>
    <t>28 (second cell)</t>
  </si>
  <si>
    <t>56 (second AV)</t>
  </si>
  <si>
    <t>64 (second AV)</t>
  </si>
  <si>
    <t>69 (second AV)</t>
  </si>
  <si>
    <t>69 (third AV)</t>
  </si>
  <si>
    <t>73-74</t>
  </si>
  <si>
    <t>52 profiles</t>
  </si>
  <si>
    <t>Summary</t>
  </si>
  <si>
    <t>Control</t>
  </si>
  <si>
    <t>CLN3Q352X</t>
  </si>
  <si>
    <t>Num. analyzed cell profiles</t>
  </si>
  <si>
    <t>Num. found AV</t>
  </si>
  <si>
    <t>% of presence of AV in all analyzed cell profiles</t>
  </si>
  <si>
    <t>Total sum analyzed cell areas</t>
  </si>
  <si>
    <t>Total sum analyzed AV areas</t>
  </si>
  <si>
    <t>Percentage</t>
  </si>
  <si>
    <t>Mean AV area</t>
  </si>
  <si>
    <t>Median</t>
  </si>
  <si>
    <t>Median AV area</t>
  </si>
  <si>
    <t>total area of autphagic profiles/total analyzed cell areas %</t>
  </si>
  <si>
    <t>Control n=1</t>
  </si>
  <si>
    <t>Control n=2</t>
  </si>
  <si>
    <t>Control n=3</t>
  </si>
  <si>
    <t>Control n=4</t>
  </si>
  <si>
    <t>CLN3Q352X n=1</t>
  </si>
  <si>
    <t>CLN3Q352X n=2</t>
  </si>
  <si>
    <t>CLN3Q352X n=3</t>
  </si>
  <si>
    <t>CLN3Q352X n=4</t>
  </si>
  <si>
    <t>Sum analyzed cell areas</t>
  </si>
  <si>
    <t>Sum analyzed AV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</si>
</sst>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16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1" fillId="9" borderId="0" xfId="0" applyFont="1" applyFill="1" applyAlignment="1">
      <alignment horizontal="center"/>
    </xf>
    <xf numFmtId="16" fontId="0" fillId="9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tabSelected="1" topLeftCell="E120" zoomScale="85" zoomScaleNormal="85" workbookViewId="0">
      <selection activeCell="B60" sqref="B60"/>
    </sheetView>
  </sheetViews>
  <sheetFormatPr defaultRowHeight="15" x14ac:dyDescent="0.25"/>
  <cols>
    <col min="1" max="1" width="20.85546875" style="1" bestFit="1" customWidth="1"/>
    <col min="2" max="2" width="38.5703125" style="1" bestFit="1" customWidth="1"/>
    <col min="3" max="3" width="26.85546875" style="1" bestFit="1" customWidth="1"/>
    <col min="4" max="4" width="33.28515625" style="1" bestFit="1" customWidth="1"/>
    <col min="5" max="5" width="51.42578125" style="1" bestFit="1" customWidth="1"/>
    <col min="6" max="6" width="33.140625" style="1" bestFit="1" customWidth="1"/>
    <col min="7" max="7" width="29.28515625" style="1" bestFit="1" customWidth="1"/>
    <col min="8" max="8" width="55.140625" style="1" bestFit="1" customWidth="1"/>
    <col min="9" max="9" width="15.140625" style="1" bestFit="1" customWidth="1"/>
    <col min="10" max="10" width="21.42578125" bestFit="1" customWidth="1"/>
    <col min="11" max="11" width="21.42578125" customWidth="1"/>
    <col min="12" max="13" width="9.140625" style="1"/>
    <col min="14" max="14" width="16.140625" style="1" bestFit="1" customWidth="1"/>
    <col min="15" max="16384" width="9.140625" style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4</v>
      </c>
      <c r="F1" s="1" t="s">
        <v>35</v>
      </c>
      <c r="G1" s="1" t="s">
        <v>53</v>
      </c>
      <c r="H1" s="1" t="s">
        <v>57</v>
      </c>
      <c r="I1" s="1" t="s">
        <v>56</v>
      </c>
      <c r="J1" s="1" t="s">
        <v>58</v>
      </c>
      <c r="K1" s="1" t="s">
        <v>59</v>
      </c>
      <c r="L1" s="1" t="s">
        <v>36</v>
      </c>
      <c r="M1" s="1" t="s">
        <v>37</v>
      </c>
    </row>
    <row r="2" spans="1:13" x14ac:dyDescent="0.25">
      <c r="C2" s="1" t="s">
        <v>3</v>
      </c>
      <c r="J2" s="1"/>
      <c r="K2" s="1"/>
    </row>
    <row r="3" spans="1:13" s="3" customFormat="1" x14ac:dyDescent="0.25">
      <c r="A3" s="3" t="s">
        <v>51</v>
      </c>
    </row>
    <row r="4" spans="1:13" s="15" customFormat="1" x14ac:dyDescent="0.25">
      <c r="A4" s="15" t="s">
        <v>31</v>
      </c>
      <c r="B4" s="15">
        <v>12</v>
      </c>
      <c r="C4" s="15" t="s">
        <v>38</v>
      </c>
      <c r="F4" s="15">
        <v>31.27</v>
      </c>
      <c r="G4" s="15">
        <v>0.874</v>
      </c>
      <c r="H4" s="15">
        <v>5</v>
      </c>
      <c r="I4" s="15">
        <v>2.2349999999999999</v>
      </c>
      <c r="J4" s="15">
        <f>(F4*H4)/I4</f>
        <v>69.955257270693508</v>
      </c>
      <c r="K4" s="15">
        <f>(G4*H4)/I4</f>
        <v>1.9552572706935125</v>
      </c>
      <c r="L4" s="15">
        <f>K4/J4</f>
        <v>2.7950111928365849E-2</v>
      </c>
      <c r="M4" s="15">
        <f>L4*100</f>
        <v>2.7950111928365851</v>
      </c>
    </row>
    <row r="5" spans="1:13" x14ac:dyDescent="0.25">
      <c r="B5" s="1">
        <v>17</v>
      </c>
      <c r="F5" s="1">
        <v>29.417999999999999</v>
      </c>
      <c r="H5" s="1">
        <v>2</v>
      </c>
      <c r="I5" s="1">
        <v>2.0510000000000002</v>
      </c>
      <c r="J5" s="1">
        <f t="shared" ref="J5:J59" si="0">(F5*H5)/I5</f>
        <v>28.686494392979032</v>
      </c>
      <c r="K5" s="1">
        <f t="shared" ref="K5:K59" si="1">(G5*H5)/I5</f>
        <v>0</v>
      </c>
      <c r="L5" s="1">
        <f t="shared" ref="L5:L59" si="2">K5/J5</f>
        <v>0</v>
      </c>
    </row>
    <row r="6" spans="1:13" x14ac:dyDescent="0.25">
      <c r="B6" s="1">
        <v>-18</v>
      </c>
      <c r="C6" s="1" t="s">
        <v>39</v>
      </c>
      <c r="F6" s="1">
        <v>13.855</v>
      </c>
      <c r="G6" s="1">
        <v>8.6999999999999994E-2</v>
      </c>
      <c r="H6" s="1">
        <v>10</v>
      </c>
      <c r="I6" s="1">
        <v>1.7909999999999999</v>
      </c>
      <c r="J6" s="1">
        <f t="shared" si="0"/>
        <v>77.359017308766056</v>
      </c>
      <c r="K6" s="1">
        <f t="shared" si="1"/>
        <v>0.4857621440536013</v>
      </c>
      <c r="L6" s="1">
        <f t="shared" si="2"/>
        <v>6.2793215445687469E-3</v>
      </c>
      <c r="M6" s="1">
        <f>L6*100</f>
        <v>0.62793215445687467</v>
      </c>
    </row>
    <row r="7" spans="1:13" x14ac:dyDescent="0.25">
      <c r="B7" s="1">
        <v>24</v>
      </c>
      <c r="C7" s="1" t="s">
        <v>5</v>
      </c>
      <c r="F7" s="1">
        <v>16.887</v>
      </c>
      <c r="H7" s="1">
        <v>5</v>
      </c>
      <c r="I7" s="1">
        <v>2.25</v>
      </c>
      <c r="J7" s="1">
        <f t="shared" si="0"/>
        <v>37.526666666666671</v>
      </c>
      <c r="K7" s="1">
        <f t="shared" si="1"/>
        <v>0</v>
      </c>
      <c r="L7" s="1">
        <f t="shared" si="2"/>
        <v>0</v>
      </c>
    </row>
    <row r="8" spans="1:13" x14ac:dyDescent="0.25">
      <c r="B8" s="1">
        <v>27</v>
      </c>
      <c r="C8" s="1" t="s">
        <v>6</v>
      </c>
      <c r="D8" s="1" t="s">
        <v>7</v>
      </c>
      <c r="F8" s="1">
        <v>23.260999999999999</v>
      </c>
      <c r="H8" s="1">
        <v>10</v>
      </c>
      <c r="I8" s="1">
        <v>2.6789999999999998</v>
      </c>
      <c r="J8" s="1">
        <f t="shared" si="0"/>
        <v>86.827174318775661</v>
      </c>
      <c r="K8" s="1">
        <f t="shared" si="1"/>
        <v>0</v>
      </c>
      <c r="L8" s="1">
        <f t="shared" si="2"/>
        <v>0</v>
      </c>
    </row>
    <row r="9" spans="1:13" x14ac:dyDescent="0.25">
      <c r="B9" s="1">
        <v>-32</v>
      </c>
      <c r="C9" s="1" t="s">
        <v>8</v>
      </c>
      <c r="F9" s="1">
        <v>27.78</v>
      </c>
      <c r="H9" s="1">
        <v>5</v>
      </c>
      <c r="I9" s="1">
        <v>2.2040000000000002</v>
      </c>
      <c r="J9" s="1">
        <f t="shared" si="0"/>
        <v>63.02177858439201</v>
      </c>
      <c r="K9" s="1">
        <f t="shared" si="1"/>
        <v>0</v>
      </c>
      <c r="L9" s="1">
        <f t="shared" si="2"/>
        <v>0</v>
      </c>
    </row>
    <row r="10" spans="1:13" x14ac:dyDescent="0.25">
      <c r="B10" s="1">
        <v>36</v>
      </c>
      <c r="C10" s="1" t="s">
        <v>9</v>
      </c>
      <c r="F10" s="1">
        <v>9.5670000000000002</v>
      </c>
      <c r="H10" s="1">
        <v>10</v>
      </c>
      <c r="I10" s="1">
        <v>2.6789999999999998</v>
      </c>
      <c r="J10" s="1">
        <f t="shared" si="0"/>
        <v>35.711086226203811</v>
      </c>
      <c r="K10" s="1">
        <f t="shared" si="1"/>
        <v>0</v>
      </c>
      <c r="L10" s="1">
        <f t="shared" si="2"/>
        <v>0</v>
      </c>
    </row>
    <row r="11" spans="1:13" x14ac:dyDescent="0.25">
      <c r="B11" s="1">
        <v>40</v>
      </c>
      <c r="C11" s="1" t="s">
        <v>10</v>
      </c>
      <c r="F11" s="1">
        <v>25.724</v>
      </c>
      <c r="H11" s="1">
        <v>10</v>
      </c>
      <c r="I11" s="1">
        <v>2.694</v>
      </c>
      <c r="J11" s="1">
        <f t="shared" si="0"/>
        <v>95.486265775798074</v>
      </c>
      <c r="K11" s="1">
        <f t="shared" si="1"/>
        <v>0</v>
      </c>
      <c r="L11" s="1">
        <f t="shared" si="2"/>
        <v>0</v>
      </c>
    </row>
    <row r="12" spans="1:13" x14ac:dyDescent="0.25">
      <c r="B12" s="1">
        <v>-46</v>
      </c>
      <c r="C12" s="1" t="s">
        <v>40</v>
      </c>
      <c r="F12" s="1">
        <v>12.816000000000001</v>
      </c>
      <c r="G12" s="1">
        <v>0.88</v>
      </c>
      <c r="H12" s="1">
        <v>10</v>
      </c>
      <c r="I12" s="1">
        <v>1.776</v>
      </c>
      <c r="J12" s="1">
        <f t="shared" si="0"/>
        <v>72.162162162162161</v>
      </c>
      <c r="K12" s="1">
        <f t="shared" si="1"/>
        <v>4.954954954954955</v>
      </c>
      <c r="L12" s="1">
        <f t="shared" si="2"/>
        <v>6.8664169787765295E-2</v>
      </c>
      <c r="M12" s="1">
        <f>L12*100</f>
        <v>6.8664169787765292</v>
      </c>
    </row>
    <row r="13" spans="1:13" x14ac:dyDescent="0.25">
      <c r="B13" s="1">
        <v>52</v>
      </c>
      <c r="C13" s="1" t="s">
        <v>11</v>
      </c>
      <c r="F13" s="1">
        <v>12.677</v>
      </c>
      <c r="H13" s="1">
        <v>10</v>
      </c>
      <c r="I13" s="1">
        <v>2.6629999999999998</v>
      </c>
      <c r="J13" s="1">
        <f t="shared" si="0"/>
        <v>47.60420578295156</v>
      </c>
      <c r="K13" s="1">
        <f t="shared" si="1"/>
        <v>0</v>
      </c>
      <c r="L13" s="1">
        <f t="shared" si="2"/>
        <v>0</v>
      </c>
    </row>
    <row r="14" spans="1:13" x14ac:dyDescent="0.25">
      <c r="B14" s="1">
        <v>60</v>
      </c>
      <c r="F14" s="1">
        <v>32.396999999999998</v>
      </c>
      <c r="H14" s="1">
        <v>2</v>
      </c>
      <c r="I14" s="1">
        <v>2.0510000000000002</v>
      </c>
      <c r="J14" s="1">
        <f t="shared" si="0"/>
        <v>31.591418820087757</v>
      </c>
      <c r="K14" s="1">
        <f t="shared" si="1"/>
        <v>0</v>
      </c>
      <c r="L14" s="1">
        <f t="shared" si="2"/>
        <v>0</v>
      </c>
    </row>
    <row r="15" spans="1:13" x14ac:dyDescent="0.25">
      <c r="B15" s="1">
        <v>61</v>
      </c>
      <c r="F15" s="1">
        <v>22.331</v>
      </c>
      <c r="H15" s="1">
        <v>2</v>
      </c>
      <c r="I15" s="1">
        <v>1.7450000000000001</v>
      </c>
      <c r="J15" s="1">
        <f t="shared" si="0"/>
        <v>25.594269340974211</v>
      </c>
      <c r="K15" s="1">
        <f t="shared" si="1"/>
        <v>0</v>
      </c>
      <c r="L15" s="1">
        <f t="shared" si="2"/>
        <v>0</v>
      </c>
    </row>
    <row r="16" spans="1:13" x14ac:dyDescent="0.25">
      <c r="B16" s="1">
        <v>62</v>
      </c>
      <c r="C16" s="1" t="s">
        <v>12</v>
      </c>
      <c r="F16" s="1">
        <v>10.193</v>
      </c>
      <c r="H16" s="1">
        <v>10</v>
      </c>
      <c r="I16" s="1">
        <v>2.6789999999999998</v>
      </c>
      <c r="J16" s="1">
        <f t="shared" si="0"/>
        <v>38.047779022023143</v>
      </c>
      <c r="K16" s="1">
        <f t="shared" si="1"/>
        <v>0</v>
      </c>
      <c r="L16" s="1">
        <f t="shared" si="2"/>
        <v>0</v>
      </c>
    </row>
    <row r="17" spans="1:13" x14ac:dyDescent="0.25">
      <c r="B17" s="1">
        <v>74</v>
      </c>
      <c r="C17" s="1" t="s">
        <v>13</v>
      </c>
      <c r="F17" s="1">
        <v>13.94</v>
      </c>
      <c r="H17" s="1">
        <v>10</v>
      </c>
      <c r="I17" s="1">
        <v>2.6789999999999998</v>
      </c>
      <c r="J17" s="1">
        <f t="shared" si="0"/>
        <v>52.034341172079138</v>
      </c>
      <c r="K17" s="1">
        <f t="shared" si="1"/>
        <v>0</v>
      </c>
      <c r="L17" s="1">
        <f t="shared" si="2"/>
        <v>0</v>
      </c>
    </row>
    <row r="18" spans="1:13" s="15" customFormat="1" x14ac:dyDescent="0.25">
      <c r="A18" s="15" t="s">
        <v>32</v>
      </c>
      <c r="B18" s="15">
        <v>-8</v>
      </c>
      <c r="C18" s="15" t="s">
        <v>15</v>
      </c>
      <c r="F18" s="15">
        <v>32.173000000000002</v>
      </c>
      <c r="H18" s="15">
        <v>10</v>
      </c>
      <c r="I18" s="15">
        <v>2.7090000000000001</v>
      </c>
      <c r="J18" s="15">
        <f t="shared" si="0"/>
        <v>118.76338132152085</v>
      </c>
      <c r="K18" s="15">
        <f t="shared" si="1"/>
        <v>0</v>
      </c>
      <c r="L18" s="15">
        <f t="shared" si="2"/>
        <v>0</v>
      </c>
    </row>
    <row r="19" spans="1:13" x14ac:dyDescent="0.25">
      <c r="B19" s="1">
        <v>14</v>
      </c>
      <c r="C19" s="1" t="s">
        <v>16</v>
      </c>
      <c r="F19" s="1">
        <v>56.902000000000001</v>
      </c>
      <c r="H19" s="1">
        <v>10</v>
      </c>
      <c r="I19" s="1">
        <v>2.6629999999999998</v>
      </c>
      <c r="J19" s="1">
        <f t="shared" si="0"/>
        <v>213.676304919264</v>
      </c>
      <c r="K19" s="1">
        <f t="shared" si="1"/>
        <v>0</v>
      </c>
      <c r="L19" s="1">
        <f t="shared" si="2"/>
        <v>0</v>
      </c>
    </row>
    <row r="20" spans="1:13" x14ac:dyDescent="0.25">
      <c r="B20" s="1">
        <v>24</v>
      </c>
      <c r="C20" s="1" t="s">
        <v>41</v>
      </c>
      <c r="F20" s="1">
        <v>29.321000000000002</v>
      </c>
      <c r="G20" s="1">
        <v>0.83699999999999997</v>
      </c>
      <c r="H20" s="1">
        <v>10</v>
      </c>
      <c r="I20" s="1">
        <v>2.6629999999999998</v>
      </c>
      <c r="J20" s="1">
        <f t="shared" si="0"/>
        <v>110.10514457378898</v>
      </c>
      <c r="K20" s="1">
        <f t="shared" si="1"/>
        <v>3.1430717236199772</v>
      </c>
      <c r="L20" s="1">
        <f t="shared" si="2"/>
        <v>2.8546093243750206E-2</v>
      </c>
      <c r="M20" s="1">
        <f>L20*100</f>
        <v>2.8546093243750206</v>
      </c>
    </row>
    <row r="21" spans="1:13" x14ac:dyDescent="0.25">
      <c r="B21" s="1">
        <v>29</v>
      </c>
      <c r="C21" s="1" t="s">
        <v>17</v>
      </c>
      <c r="F21" s="1">
        <v>23.106999999999999</v>
      </c>
      <c r="H21" s="1">
        <v>10</v>
      </c>
      <c r="I21" s="1">
        <v>2.694</v>
      </c>
      <c r="J21" s="1">
        <f t="shared" si="0"/>
        <v>85.772086117297704</v>
      </c>
      <c r="K21" s="1">
        <f t="shared" si="1"/>
        <v>0</v>
      </c>
      <c r="L21" s="1">
        <f t="shared" si="2"/>
        <v>0</v>
      </c>
    </row>
    <row r="22" spans="1:13" x14ac:dyDescent="0.25">
      <c r="B22" s="1">
        <v>-33</v>
      </c>
      <c r="C22" s="1" t="s">
        <v>18</v>
      </c>
      <c r="F22" s="1">
        <v>31.06</v>
      </c>
      <c r="H22" s="1">
        <v>10</v>
      </c>
      <c r="I22" s="1">
        <v>2.6789999999999998</v>
      </c>
      <c r="J22" s="1">
        <f t="shared" si="0"/>
        <v>115.93878312803284</v>
      </c>
      <c r="K22" s="1">
        <f t="shared" si="1"/>
        <v>0</v>
      </c>
      <c r="L22" s="1">
        <f t="shared" si="2"/>
        <v>0</v>
      </c>
    </row>
    <row r="23" spans="1:13" x14ac:dyDescent="0.25">
      <c r="B23" s="1">
        <v>37</v>
      </c>
      <c r="C23" s="1" t="s">
        <v>19</v>
      </c>
      <c r="F23" s="1">
        <v>15.079000000000001</v>
      </c>
      <c r="H23" s="1">
        <v>5</v>
      </c>
      <c r="I23" s="1">
        <v>2.2349999999999999</v>
      </c>
      <c r="J23" s="1">
        <f t="shared" si="0"/>
        <v>33.733780760626402</v>
      </c>
      <c r="K23" s="1">
        <f t="shared" si="1"/>
        <v>0</v>
      </c>
      <c r="L23" s="1">
        <f t="shared" si="2"/>
        <v>0</v>
      </c>
    </row>
    <row r="24" spans="1:13" x14ac:dyDescent="0.25">
      <c r="B24" s="1">
        <v>40</v>
      </c>
      <c r="C24" s="1" t="s">
        <v>20</v>
      </c>
      <c r="F24" s="1">
        <v>27.562999999999999</v>
      </c>
      <c r="H24" s="1">
        <v>10</v>
      </c>
      <c r="I24" s="1">
        <v>2.6789999999999998</v>
      </c>
      <c r="J24" s="1">
        <f t="shared" si="0"/>
        <v>102.88540500186637</v>
      </c>
      <c r="K24" s="1">
        <f t="shared" si="1"/>
        <v>0</v>
      </c>
      <c r="L24" s="1">
        <f t="shared" si="2"/>
        <v>0</v>
      </c>
    </row>
    <row r="25" spans="1:13" x14ac:dyDescent="0.25">
      <c r="B25" s="1">
        <v>44</v>
      </c>
      <c r="C25" s="1" t="s">
        <v>21</v>
      </c>
      <c r="F25" s="1">
        <v>11.839</v>
      </c>
      <c r="H25" s="1">
        <v>10</v>
      </c>
      <c r="I25" s="1">
        <v>2.6789999999999998</v>
      </c>
      <c r="J25" s="1">
        <f t="shared" si="0"/>
        <v>44.191862635311686</v>
      </c>
      <c r="K25" s="1">
        <f t="shared" si="1"/>
        <v>0</v>
      </c>
      <c r="L25" s="1">
        <f t="shared" si="2"/>
        <v>0</v>
      </c>
    </row>
    <row r="26" spans="1:13" s="6" customFormat="1" x14ac:dyDescent="0.25">
      <c r="B26" s="7">
        <v>-47</v>
      </c>
      <c r="F26" s="6">
        <v>34.536000000000001</v>
      </c>
      <c r="G26" s="6">
        <v>3.7029999999999998</v>
      </c>
      <c r="H26" s="6">
        <v>5</v>
      </c>
      <c r="I26" s="6">
        <v>3.1680000000000001</v>
      </c>
      <c r="J26" s="1">
        <f t="shared" si="0"/>
        <v>54.507575757575758</v>
      </c>
      <c r="K26" s="1">
        <f t="shared" si="1"/>
        <v>5.8443813131313131</v>
      </c>
      <c r="L26" s="1">
        <f t="shared" si="2"/>
        <v>0.10722145008107482</v>
      </c>
      <c r="M26" s="6">
        <f>L26*100</f>
        <v>10.722145008107482</v>
      </c>
    </row>
    <row r="27" spans="1:13" x14ac:dyDescent="0.25">
      <c r="B27" s="1">
        <v>48</v>
      </c>
      <c r="C27" s="1" t="s">
        <v>22</v>
      </c>
      <c r="F27" s="1">
        <v>23.986999999999998</v>
      </c>
      <c r="H27" s="1">
        <v>10</v>
      </c>
      <c r="I27" s="1">
        <v>2.6789999999999998</v>
      </c>
      <c r="J27" s="1">
        <f t="shared" si="0"/>
        <v>89.537140724150802</v>
      </c>
      <c r="K27" s="1">
        <f t="shared" si="1"/>
        <v>0</v>
      </c>
      <c r="L27" s="1">
        <f t="shared" si="2"/>
        <v>0</v>
      </c>
      <c r="M27" s="6">
        <f t="shared" ref="M27:M59" si="3">L27*100</f>
        <v>0</v>
      </c>
    </row>
    <row r="28" spans="1:13" x14ac:dyDescent="0.25">
      <c r="B28" s="1">
        <v>51</v>
      </c>
      <c r="C28" s="1" t="s">
        <v>23</v>
      </c>
      <c r="F28" s="1">
        <v>24.484000000000002</v>
      </c>
      <c r="H28" s="1">
        <v>10</v>
      </c>
      <c r="I28" s="1">
        <v>2.6789999999999998</v>
      </c>
      <c r="J28" s="1">
        <f t="shared" si="0"/>
        <v>91.392310563643164</v>
      </c>
      <c r="K28" s="1">
        <f t="shared" si="1"/>
        <v>0</v>
      </c>
      <c r="L28" s="1">
        <f t="shared" si="2"/>
        <v>0</v>
      </c>
      <c r="M28" s="6">
        <f t="shared" si="3"/>
        <v>0</v>
      </c>
    </row>
    <row r="29" spans="1:13" x14ac:dyDescent="0.25">
      <c r="B29" s="1">
        <v>-56</v>
      </c>
      <c r="C29" s="1" t="s">
        <v>24</v>
      </c>
      <c r="F29" s="1">
        <v>23.420999999999999</v>
      </c>
      <c r="H29" s="1">
        <v>10</v>
      </c>
      <c r="I29" s="1">
        <v>2.6789999999999998</v>
      </c>
      <c r="J29" s="1">
        <f t="shared" si="0"/>
        <v>87.424412094064948</v>
      </c>
      <c r="K29" s="1">
        <f t="shared" si="1"/>
        <v>0</v>
      </c>
      <c r="L29" s="1">
        <f t="shared" si="2"/>
        <v>0</v>
      </c>
      <c r="M29" s="6">
        <f t="shared" si="3"/>
        <v>0</v>
      </c>
    </row>
    <row r="30" spans="1:13" s="15" customFormat="1" x14ac:dyDescent="0.25">
      <c r="A30" s="15" t="s">
        <v>62</v>
      </c>
      <c r="B30" s="15">
        <v>1</v>
      </c>
      <c r="D30" s="15" t="s">
        <v>77</v>
      </c>
      <c r="F30" s="15">
        <v>12.749000000000001</v>
      </c>
      <c r="H30" s="15">
        <v>5</v>
      </c>
      <c r="I30" s="15">
        <v>2.2200000000000002</v>
      </c>
      <c r="J30" s="15">
        <f t="shared" si="0"/>
        <v>28.713963963963963</v>
      </c>
      <c r="K30" s="15">
        <f t="shared" si="1"/>
        <v>0</v>
      </c>
      <c r="L30" s="15">
        <f t="shared" si="2"/>
        <v>0</v>
      </c>
      <c r="M30" s="15">
        <f t="shared" si="3"/>
        <v>0</v>
      </c>
    </row>
    <row r="31" spans="1:13" x14ac:dyDescent="0.25">
      <c r="A31" s="1" t="s">
        <v>63</v>
      </c>
      <c r="B31" s="1" t="s">
        <v>64</v>
      </c>
      <c r="D31" s="1" t="s">
        <v>78</v>
      </c>
      <c r="F31" s="1">
        <v>5.4859999999999998</v>
      </c>
      <c r="H31" s="1">
        <v>5</v>
      </c>
      <c r="I31" s="1">
        <v>2.2200000000000002</v>
      </c>
      <c r="J31" s="1">
        <f t="shared" si="0"/>
        <v>12.355855855855854</v>
      </c>
      <c r="K31" s="1">
        <f t="shared" si="1"/>
        <v>0</v>
      </c>
      <c r="L31" s="1">
        <f t="shared" si="2"/>
        <v>0</v>
      </c>
      <c r="M31" s="6">
        <f t="shared" si="3"/>
        <v>0</v>
      </c>
    </row>
    <row r="32" spans="1:13" x14ac:dyDescent="0.25">
      <c r="A32" s="1" t="s">
        <v>60</v>
      </c>
      <c r="B32" s="1">
        <v>3</v>
      </c>
      <c r="F32" s="1">
        <v>8.6069999999999993</v>
      </c>
      <c r="H32" s="1">
        <v>5</v>
      </c>
      <c r="I32" s="1">
        <v>2.2349999999999999</v>
      </c>
      <c r="J32" s="1">
        <f t="shared" si="0"/>
        <v>19.255033557046978</v>
      </c>
      <c r="K32" s="1">
        <f t="shared" si="1"/>
        <v>0</v>
      </c>
      <c r="L32" s="1">
        <f t="shared" si="2"/>
        <v>0</v>
      </c>
      <c r="M32" s="6">
        <f t="shared" si="3"/>
        <v>0</v>
      </c>
    </row>
    <row r="33" spans="1:13" x14ac:dyDescent="0.25">
      <c r="A33" s="1" t="s">
        <v>61</v>
      </c>
      <c r="B33" s="1" t="s">
        <v>65</v>
      </c>
      <c r="F33" s="1">
        <v>2.2684000000000002</v>
      </c>
      <c r="H33" s="1">
        <v>5</v>
      </c>
      <c r="I33" s="1">
        <v>2.2349999999999999</v>
      </c>
      <c r="J33" s="1">
        <f t="shared" si="0"/>
        <v>5.0747203579418354</v>
      </c>
      <c r="K33" s="1">
        <f t="shared" si="1"/>
        <v>0</v>
      </c>
      <c r="L33" s="1">
        <f t="shared" si="2"/>
        <v>0</v>
      </c>
      <c r="M33" s="6">
        <f t="shared" si="3"/>
        <v>0</v>
      </c>
    </row>
    <row r="34" spans="1:13" x14ac:dyDescent="0.25">
      <c r="B34" s="1">
        <v>5</v>
      </c>
      <c r="F34" s="1">
        <v>13.339</v>
      </c>
      <c r="H34" s="1">
        <v>5</v>
      </c>
      <c r="I34" s="1">
        <v>2.25</v>
      </c>
      <c r="J34" s="1">
        <f t="shared" si="0"/>
        <v>29.642222222222227</v>
      </c>
      <c r="K34" s="1">
        <f t="shared" si="1"/>
        <v>0</v>
      </c>
      <c r="L34" s="1">
        <f t="shared" si="2"/>
        <v>0</v>
      </c>
      <c r="M34" s="6">
        <f t="shared" si="3"/>
        <v>0</v>
      </c>
    </row>
    <row r="35" spans="1:13" x14ac:dyDescent="0.25">
      <c r="B35" s="1">
        <v>8</v>
      </c>
      <c r="F35" s="1">
        <v>10.332000000000001</v>
      </c>
      <c r="H35" s="1">
        <v>5</v>
      </c>
      <c r="I35" s="1">
        <v>2.2349999999999999</v>
      </c>
      <c r="J35" s="1">
        <f t="shared" si="0"/>
        <v>23.114093959731548</v>
      </c>
      <c r="K35" s="1">
        <f t="shared" si="1"/>
        <v>0</v>
      </c>
      <c r="L35" s="1">
        <f t="shared" si="2"/>
        <v>0</v>
      </c>
      <c r="M35" s="6">
        <f t="shared" si="3"/>
        <v>0</v>
      </c>
    </row>
    <row r="36" spans="1:13" x14ac:dyDescent="0.25">
      <c r="B36" s="1" t="s">
        <v>66</v>
      </c>
      <c r="F36" s="1">
        <v>11.058</v>
      </c>
      <c r="H36" s="1">
        <v>5</v>
      </c>
      <c r="I36" s="1">
        <v>2.2349999999999999</v>
      </c>
      <c r="J36" s="1">
        <f t="shared" si="0"/>
        <v>24.738255033557049</v>
      </c>
      <c r="K36" s="1">
        <f t="shared" si="1"/>
        <v>0</v>
      </c>
      <c r="L36" s="1">
        <f t="shared" si="2"/>
        <v>0</v>
      </c>
      <c r="M36" s="6">
        <f t="shared" si="3"/>
        <v>0</v>
      </c>
    </row>
    <row r="37" spans="1:13" x14ac:dyDescent="0.25">
      <c r="B37" s="1">
        <v>10</v>
      </c>
      <c r="F37" s="1">
        <v>28.774000000000001</v>
      </c>
      <c r="H37" s="1">
        <v>5</v>
      </c>
      <c r="I37" s="1">
        <v>1.3620000000000001</v>
      </c>
      <c r="J37" s="1">
        <f t="shared" si="0"/>
        <v>105.63142437591776</v>
      </c>
      <c r="K37" s="1">
        <f t="shared" si="1"/>
        <v>0</v>
      </c>
      <c r="L37" s="1">
        <f t="shared" si="2"/>
        <v>0</v>
      </c>
      <c r="M37" s="6">
        <f t="shared" si="3"/>
        <v>0</v>
      </c>
    </row>
    <row r="38" spans="1:13" x14ac:dyDescent="0.25">
      <c r="B38" s="1">
        <v>16</v>
      </c>
      <c r="C38" s="2" t="s">
        <v>67</v>
      </c>
      <c r="F38" s="1">
        <v>38.463000000000001</v>
      </c>
      <c r="G38" s="1">
        <v>0.153</v>
      </c>
      <c r="H38" s="1">
        <v>5</v>
      </c>
      <c r="I38" s="1">
        <v>1.347</v>
      </c>
      <c r="J38" s="1">
        <f t="shared" si="0"/>
        <v>142.77282850779511</v>
      </c>
      <c r="K38" s="1">
        <f>(G38*H38)/I38</f>
        <v>0.56792873051224946</v>
      </c>
      <c r="L38" s="1">
        <f t="shared" si="2"/>
        <v>3.9778488417440139E-3</v>
      </c>
      <c r="M38" s="6">
        <f t="shared" si="3"/>
        <v>0.39778488417440139</v>
      </c>
    </row>
    <row r="39" spans="1:13" x14ac:dyDescent="0.25">
      <c r="B39" s="1">
        <v>24</v>
      </c>
      <c r="C39" s="2">
        <v>25</v>
      </c>
      <c r="F39" s="1">
        <v>27.977</v>
      </c>
      <c r="G39" s="1">
        <v>0.218</v>
      </c>
      <c r="H39" s="1">
        <v>5</v>
      </c>
      <c r="I39" s="1">
        <v>2.2189999999999999</v>
      </c>
      <c r="J39" s="1">
        <f t="shared" si="0"/>
        <v>63.0396575033799</v>
      </c>
      <c r="K39" s="1">
        <f t="shared" si="1"/>
        <v>0.49121225777377203</v>
      </c>
      <c r="L39" s="1">
        <f t="shared" si="2"/>
        <v>7.7921149515673598E-3</v>
      </c>
      <c r="M39" s="1">
        <f t="shared" si="3"/>
        <v>0.77921149515673593</v>
      </c>
    </row>
    <row r="40" spans="1:13" x14ac:dyDescent="0.25">
      <c r="B40" s="1">
        <v>26</v>
      </c>
      <c r="F40" s="1">
        <v>12.074</v>
      </c>
      <c r="H40" s="1">
        <v>5</v>
      </c>
      <c r="I40" s="1">
        <v>2.2349999999999999</v>
      </c>
      <c r="J40" s="1">
        <f t="shared" si="0"/>
        <v>27.011185682326623</v>
      </c>
      <c r="K40" s="1">
        <f t="shared" si="1"/>
        <v>0</v>
      </c>
      <c r="L40" s="1">
        <f t="shared" si="2"/>
        <v>0</v>
      </c>
      <c r="M40" s="1">
        <f t="shared" si="3"/>
        <v>0</v>
      </c>
    </row>
    <row r="41" spans="1:13" x14ac:dyDescent="0.25">
      <c r="B41" s="1" t="s">
        <v>68</v>
      </c>
      <c r="F41" s="1">
        <v>16.896000000000001</v>
      </c>
      <c r="H41" s="1">
        <v>5</v>
      </c>
      <c r="I41" s="1">
        <v>2.2349999999999999</v>
      </c>
      <c r="J41" s="1">
        <f t="shared" si="0"/>
        <v>37.798657718120808</v>
      </c>
      <c r="K41" s="1">
        <f t="shared" si="1"/>
        <v>0</v>
      </c>
      <c r="L41" s="1">
        <f t="shared" si="2"/>
        <v>0</v>
      </c>
      <c r="M41" s="1">
        <f t="shared" si="3"/>
        <v>0</v>
      </c>
    </row>
    <row r="42" spans="1:13" x14ac:dyDescent="0.25">
      <c r="B42" s="1">
        <v>32</v>
      </c>
      <c r="C42" s="2" t="s">
        <v>69</v>
      </c>
      <c r="F42" s="1">
        <v>13.795</v>
      </c>
      <c r="G42" s="1">
        <v>0.38200000000000001</v>
      </c>
      <c r="H42" s="1">
        <v>5</v>
      </c>
      <c r="I42" s="1">
        <v>1.3779999999999999</v>
      </c>
      <c r="J42" s="1">
        <f t="shared" si="0"/>
        <v>50.054426705370105</v>
      </c>
      <c r="K42" s="1">
        <f t="shared" si="1"/>
        <v>1.3860667634252541</v>
      </c>
      <c r="L42" s="1">
        <f t="shared" si="2"/>
        <v>2.7691192461036608E-2</v>
      </c>
      <c r="M42" s="1">
        <f t="shared" si="3"/>
        <v>2.7691192461036609</v>
      </c>
    </row>
    <row r="43" spans="1:13" x14ac:dyDescent="0.25">
      <c r="B43" s="1">
        <v>36</v>
      </c>
      <c r="C43" s="2"/>
      <c r="F43" s="1">
        <v>13.789</v>
      </c>
      <c r="H43" s="1">
        <v>5</v>
      </c>
      <c r="I43" s="1">
        <v>1.3620000000000001</v>
      </c>
      <c r="J43" s="1">
        <f t="shared" si="0"/>
        <v>50.62041116005873</v>
      </c>
      <c r="K43" s="1">
        <f t="shared" si="1"/>
        <v>0</v>
      </c>
      <c r="L43" s="1">
        <f t="shared" si="2"/>
        <v>0</v>
      </c>
      <c r="M43" s="1">
        <f t="shared" si="3"/>
        <v>0</v>
      </c>
    </row>
    <row r="44" spans="1:13" x14ac:dyDescent="0.25">
      <c r="B44" s="1">
        <v>39</v>
      </c>
      <c r="C44" s="2"/>
      <c r="F44" s="1">
        <v>8.6219999999999999</v>
      </c>
      <c r="H44" s="1">
        <v>5</v>
      </c>
      <c r="I44" s="1">
        <v>1.347</v>
      </c>
      <c r="J44" s="1">
        <f t="shared" si="0"/>
        <v>32.00445434298441</v>
      </c>
      <c r="K44" s="1">
        <f t="shared" si="1"/>
        <v>0</v>
      </c>
      <c r="L44" s="1">
        <f t="shared" si="2"/>
        <v>0</v>
      </c>
      <c r="M44" s="1">
        <f t="shared" si="3"/>
        <v>0</v>
      </c>
    </row>
    <row r="45" spans="1:13" x14ac:dyDescent="0.25">
      <c r="B45" s="1">
        <v>43</v>
      </c>
      <c r="C45" s="2"/>
      <c r="F45" s="1">
        <v>24.073</v>
      </c>
      <c r="H45" s="1">
        <v>5</v>
      </c>
      <c r="I45" s="1">
        <v>2.25</v>
      </c>
      <c r="J45" s="1">
        <f t="shared" si="0"/>
        <v>53.495555555555562</v>
      </c>
      <c r="K45" s="1">
        <f t="shared" si="1"/>
        <v>0</v>
      </c>
      <c r="L45" s="1">
        <f t="shared" si="2"/>
        <v>0</v>
      </c>
      <c r="M45" s="1">
        <f t="shared" si="3"/>
        <v>0</v>
      </c>
    </row>
    <row r="46" spans="1:13" x14ac:dyDescent="0.25">
      <c r="B46" s="1">
        <v>46</v>
      </c>
      <c r="C46" s="2"/>
      <c r="F46" s="1">
        <v>8.3109999999999999</v>
      </c>
      <c r="H46" s="1">
        <v>5</v>
      </c>
      <c r="I46" s="1">
        <v>1.3779999999999999</v>
      </c>
      <c r="J46" s="1">
        <f t="shared" si="0"/>
        <v>30.156023222060959</v>
      </c>
      <c r="K46" s="1">
        <f t="shared" si="1"/>
        <v>0</v>
      </c>
      <c r="L46" s="1">
        <f t="shared" si="2"/>
        <v>0</v>
      </c>
      <c r="M46" s="1">
        <f t="shared" si="3"/>
        <v>0</v>
      </c>
    </row>
    <row r="47" spans="1:13" x14ac:dyDescent="0.25">
      <c r="B47" s="1">
        <v>50</v>
      </c>
      <c r="C47" s="2"/>
      <c r="F47" s="1">
        <v>17.463000000000001</v>
      </c>
      <c r="H47" s="1">
        <v>5</v>
      </c>
      <c r="I47" s="1">
        <v>1.347</v>
      </c>
      <c r="J47" s="1">
        <f t="shared" si="0"/>
        <v>64.821826280623611</v>
      </c>
      <c r="K47" s="1">
        <f t="shared" si="1"/>
        <v>0</v>
      </c>
      <c r="L47" s="1">
        <f t="shared" si="2"/>
        <v>0</v>
      </c>
      <c r="M47" s="1">
        <f t="shared" si="3"/>
        <v>0</v>
      </c>
    </row>
    <row r="48" spans="1:13" s="15" customFormat="1" x14ac:dyDescent="0.25">
      <c r="A48" s="15" t="s">
        <v>72</v>
      </c>
      <c r="B48" s="15">
        <v>1</v>
      </c>
      <c r="C48" s="16"/>
      <c r="D48" s="15" t="s">
        <v>79</v>
      </c>
      <c r="F48" s="15">
        <v>45.302999999999997</v>
      </c>
      <c r="H48" s="15">
        <v>5</v>
      </c>
      <c r="I48" s="15">
        <v>2.2040000000000002</v>
      </c>
      <c r="J48" s="15">
        <f t="shared" si="0"/>
        <v>102.77450090744099</v>
      </c>
      <c r="K48" s="15">
        <f t="shared" si="1"/>
        <v>0</v>
      </c>
      <c r="L48" s="15">
        <f t="shared" si="2"/>
        <v>0</v>
      </c>
      <c r="M48" s="15">
        <f t="shared" si="3"/>
        <v>0</v>
      </c>
    </row>
    <row r="49" spans="1:13" x14ac:dyDescent="0.25">
      <c r="A49" s="1" t="s">
        <v>70</v>
      </c>
      <c r="B49" s="1">
        <v>4</v>
      </c>
      <c r="C49" s="2"/>
      <c r="F49" s="1">
        <v>3.2069999999999999</v>
      </c>
      <c r="H49" s="1">
        <v>5</v>
      </c>
      <c r="I49" s="1">
        <v>1.347</v>
      </c>
      <c r="J49" s="1">
        <f t="shared" si="0"/>
        <v>11.904231625835189</v>
      </c>
      <c r="K49" s="1">
        <f t="shared" si="1"/>
        <v>0</v>
      </c>
      <c r="L49" s="1">
        <f t="shared" si="2"/>
        <v>0</v>
      </c>
      <c r="M49" s="1">
        <f t="shared" si="3"/>
        <v>0</v>
      </c>
    </row>
    <row r="50" spans="1:13" x14ac:dyDescent="0.25">
      <c r="A50" s="1" t="s">
        <v>71</v>
      </c>
      <c r="B50" s="1">
        <v>12</v>
      </c>
      <c r="C50" s="2"/>
      <c r="F50" s="1">
        <v>16.305</v>
      </c>
      <c r="H50" s="1">
        <v>5</v>
      </c>
      <c r="I50" s="1">
        <v>2.2349999999999999</v>
      </c>
      <c r="J50" s="1">
        <f t="shared" si="0"/>
        <v>36.476510067114098</v>
      </c>
      <c r="K50" s="1">
        <f t="shared" si="1"/>
        <v>0</v>
      </c>
      <c r="L50" s="1">
        <f t="shared" si="2"/>
        <v>0</v>
      </c>
      <c r="M50" s="1">
        <f t="shared" si="3"/>
        <v>0</v>
      </c>
    </row>
    <row r="51" spans="1:13" x14ac:dyDescent="0.25">
      <c r="A51" s="1" t="s">
        <v>61</v>
      </c>
      <c r="B51" s="1">
        <v>14</v>
      </c>
      <c r="C51" s="2"/>
      <c r="F51" s="1">
        <v>35.686</v>
      </c>
      <c r="H51" s="1">
        <v>5</v>
      </c>
      <c r="I51" s="1">
        <v>2.2349999999999999</v>
      </c>
      <c r="J51" s="1">
        <f t="shared" si="0"/>
        <v>79.834451901565998</v>
      </c>
      <c r="K51" s="1">
        <f t="shared" si="1"/>
        <v>0</v>
      </c>
      <c r="L51" s="1">
        <f t="shared" si="2"/>
        <v>0</v>
      </c>
      <c r="M51" s="1">
        <f t="shared" si="3"/>
        <v>0</v>
      </c>
    </row>
    <row r="52" spans="1:13" x14ac:dyDescent="0.25">
      <c r="B52" s="1">
        <v>17</v>
      </c>
      <c r="C52" s="2"/>
      <c r="F52" s="1">
        <v>33.298000000000002</v>
      </c>
      <c r="H52" s="1">
        <v>5</v>
      </c>
      <c r="I52" s="1">
        <v>2.2189999999999999</v>
      </c>
      <c r="J52" s="1">
        <f t="shared" si="0"/>
        <v>75.029292474087441</v>
      </c>
      <c r="K52" s="1">
        <f t="shared" si="1"/>
        <v>0</v>
      </c>
      <c r="L52" s="1">
        <f t="shared" si="2"/>
        <v>0</v>
      </c>
      <c r="M52" s="1">
        <f t="shared" si="3"/>
        <v>0</v>
      </c>
    </row>
    <row r="53" spans="1:13" x14ac:dyDescent="0.25">
      <c r="B53" s="1">
        <v>19</v>
      </c>
      <c r="C53" s="2"/>
      <c r="F53" s="1">
        <v>25.19</v>
      </c>
      <c r="H53" s="1">
        <v>5</v>
      </c>
      <c r="I53" s="1">
        <v>1.347</v>
      </c>
      <c r="J53" s="1">
        <f t="shared" si="0"/>
        <v>93.504083147735713</v>
      </c>
      <c r="K53" s="1">
        <f t="shared" si="1"/>
        <v>0</v>
      </c>
      <c r="L53" s="1">
        <f t="shared" si="2"/>
        <v>0</v>
      </c>
      <c r="M53" s="1">
        <f t="shared" si="3"/>
        <v>0</v>
      </c>
    </row>
    <row r="54" spans="1:13" x14ac:dyDescent="0.25">
      <c r="B54" s="1">
        <v>24</v>
      </c>
      <c r="C54" s="2"/>
      <c r="F54" s="1">
        <v>18.616</v>
      </c>
      <c r="H54" s="1">
        <v>5</v>
      </c>
      <c r="I54" s="1">
        <v>2.25</v>
      </c>
      <c r="J54" s="1">
        <f t="shared" si="0"/>
        <v>41.36888888888889</v>
      </c>
      <c r="K54" s="1">
        <f t="shared" si="1"/>
        <v>0</v>
      </c>
      <c r="L54" s="1">
        <f t="shared" si="2"/>
        <v>0</v>
      </c>
      <c r="M54" s="1">
        <f t="shared" si="3"/>
        <v>0</v>
      </c>
    </row>
    <row r="55" spans="1:13" x14ac:dyDescent="0.25">
      <c r="B55" s="1">
        <v>26</v>
      </c>
      <c r="C55" s="2"/>
      <c r="F55" s="1">
        <v>26.757000000000001</v>
      </c>
      <c r="H55" s="1">
        <v>5</v>
      </c>
      <c r="I55" s="1">
        <v>2.2349999999999999</v>
      </c>
      <c r="J55" s="1">
        <f t="shared" si="0"/>
        <v>59.859060402684563</v>
      </c>
      <c r="K55" s="1">
        <f t="shared" si="1"/>
        <v>0</v>
      </c>
      <c r="L55" s="1">
        <f t="shared" si="2"/>
        <v>0</v>
      </c>
      <c r="M55" s="1">
        <f t="shared" si="3"/>
        <v>0</v>
      </c>
    </row>
    <row r="56" spans="1:13" x14ac:dyDescent="0.25">
      <c r="B56" s="1">
        <v>28</v>
      </c>
      <c r="C56" s="2"/>
      <c r="F56" s="1">
        <v>46.948999999999998</v>
      </c>
      <c r="H56" s="1">
        <v>5</v>
      </c>
      <c r="I56" s="1">
        <v>2.2349999999999999</v>
      </c>
      <c r="J56" s="1">
        <f t="shared" si="0"/>
        <v>105.03131991051455</v>
      </c>
      <c r="K56" s="1">
        <f t="shared" si="1"/>
        <v>0</v>
      </c>
      <c r="L56" s="1">
        <f t="shared" si="2"/>
        <v>0</v>
      </c>
      <c r="M56" s="1">
        <f t="shared" si="3"/>
        <v>0</v>
      </c>
    </row>
    <row r="57" spans="1:13" x14ac:dyDescent="0.25">
      <c r="B57" s="1">
        <v>31</v>
      </c>
      <c r="C57" s="2">
        <v>32</v>
      </c>
      <c r="F57" s="1">
        <v>19.02</v>
      </c>
      <c r="G57" s="1">
        <v>1.677</v>
      </c>
      <c r="H57" s="1">
        <v>5</v>
      </c>
      <c r="I57" s="1">
        <v>2.2189999999999999</v>
      </c>
      <c r="J57" s="1">
        <f t="shared" si="0"/>
        <v>42.857142857142854</v>
      </c>
      <c r="K57" s="1">
        <f t="shared" si="1"/>
        <v>3.7787291572780535</v>
      </c>
      <c r="L57" s="1">
        <f t="shared" si="2"/>
        <v>8.8170347003154584E-2</v>
      </c>
      <c r="M57" s="1">
        <f t="shared" si="3"/>
        <v>8.8170347003154586</v>
      </c>
    </row>
    <row r="58" spans="1:13" x14ac:dyDescent="0.25">
      <c r="B58" s="1">
        <v>33</v>
      </c>
      <c r="C58" s="2"/>
      <c r="F58" s="1">
        <v>36.51</v>
      </c>
      <c r="H58" s="1">
        <v>5</v>
      </c>
      <c r="I58" s="1">
        <v>2.2650000000000001</v>
      </c>
      <c r="J58" s="1">
        <f t="shared" si="0"/>
        <v>80.596026490066208</v>
      </c>
      <c r="K58" s="1">
        <f t="shared" si="1"/>
        <v>0</v>
      </c>
      <c r="L58" s="1">
        <f t="shared" si="2"/>
        <v>0</v>
      </c>
      <c r="M58" s="1">
        <f t="shared" si="3"/>
        <v>0</v>
      </c>
    </row>
    <row r="59" spans="1:13" x14ac:dyDescent="0.25">
      <c r="B59" s="1">
        <v>35</v>
      </c>
      <c r="C59" s="2"/>
      <c r="F59" s="1">
        <v>16.251999999999999</v>
      </c>
      <c r="H59" s="1">
        <v>5</v>
      </c>
      <c r="I59" s="1">
        <v>2.2200000000000002</v>
      </c>
      <c r="J59" s="1">
        <f t="shared" si="0"/>
        <v>36.603603603603595</v>
      </c>
      <c r="K59" s="1">
        <f t="shared" si="1"/>
        <v>0</v>
      </c>
      <c r="L59" s="1">
        <f t="shared" si="2"/>
        <v>0</v>
      </c>
      <c r="M59" s="1">
        <f t="shared" si="3"/>
        <v>0</v>
      </c>
    </row>
    <row r="60" spans="1:13" x14ac:dyDescent="0.25">
      <c r="A60" s="1" t="s">
        <v>14</v>
      </c>
      <c r="B60" s="1" t="s">
        <v>73</v>
      </c>
      <c r="E60" s="1" t="s">
        <v>54</v>
      </c>
      <c r="F60" s="9">
        <f>SUM(F4:F59)</f>
        <v>1212.7574</v>
      </c>
      <c r="G60" s="9">
        <f>SUM(G4,G6,G12,G20,G26,G38,G39,G42,G57)</f>
        <v>8.8109999999999999</v>
      </c>
      <c r="H60" s="9"/>
      <c r="I60" s="9"/>
      <c r="J60" s="9">
        <f>SUM(J4:J59)</f>
        <v>3475.6758127228891</v>
      </c>
      <c r="K60" s="9">
        <f>SUM(K4,K6,K12,K20,K26,K38,K39,K42,K57)</f>
        <v>22.607364315442688</v>
      </c>
      <c r="M60" s="5">
        <f>AVERAGE(K4,K6,K12,K20,K26,K38,K39,K42,K57)</f>
        <v>2.5119293683825208</v>
      </c>
    </row>
    <row r="61" spans="1:13" x14ac:dyDescent="0.25">
      <c r="B61" s="5">
        <f>(9/56)*100</f>
        <v>16.071428571428573</v>
      </c>
      <c r="E61" s="6" t="s">
        <v>55</v>
      </c>
      <c r="F61" s="8">
        <f>G60/F60</f>
        <v>7.265261791022673E-3</v>
      </c>
      <c r="G61" s="8">
        <f>F61*100</f>
        <v>0.72652617910226724</v>
      </c>
      <c r="H61" s="8"/>
      <c r="I61" s="8"/>
      <c r="J61" s="8">
        <f>K60/J60</f>
        <v>6.5044513739420905E-3</v>
      </c>
      <c r="K61" s="8">
        <f>J61*100</f>
        <v>0.65044513739420906</v>
      </c>
      <c r="M61" s="5">
        <f>MEDIAN(K4,K6,K12,K20,K26,K38,K39,K42,K57)</f>
        <v>1.9552572706935125</v>
      </c>
    </row>
    <row r="62" spans="1:13" s="4" customFormat="1" x14ac:dyDescent="0.25">
      <c r="A62" s="4" t="s">
        <v>52</v>
      </c>
    </row>
    <row r="63" spans="1:13" s="15" customFormat="1" x14ac:dyDescent="0.25">
      <c r="A63" s="15" t="s">
        <v>33</v>
      </c>
      <c r="B63" s="15">
        <v>1</v>
      </c>
      <c r="C63" s="17" t="s">
        <v>42</v>
      </c>
      <c r="D63" s="17"/>
      <c r="E63" s="17"/>
      <c r="F63" s="15">
        <v>34.551000000000002</v>
      </c>
      <c r="H63" s="15">
        <v>5</v>
      </c>
      <c r="I63" s="15">
        <v>3.1680000000000001</v>
      </c>
      <c r="J63" s="15">
        <f>(F63*H63)/I63</f>
        <v>54.531249999999993</v>
      </c>
      <c r="K63" s="15">
        <f>(G63*H63)/I63</f>
        <v>0</v>
      </c>
      <c r="L63" s="15">
        <f>K63/J63</f>
        <v>0</v>
      </c>
    </row>
    <row r="64" spans="1:13" x14ac:dyDescent="0.25">
      <c r="B64" s="1">
        <v>4</v>
      </c>
      <c r="C64" s="10" t="s">
        <v>43</v>
      </c>
      <c r="F64" s="1">
        <v>14.135999999999999</v>
      </c>
      <c r="H64" s="1">
        <v>5</v>
      </c>
      <c r="I64" s="1">
        <v>2.25</v>
      </c>
      <c r="J64" s="1">
        <f t="shared" ref="J64:J129" si="4">(F64*H64)/I64</f>
        <v>31.41333333333333</v>
      </c>
      <c r="K64" s="1">
        <f t="shared" ref="K64:K132" si="5">(G64*H64)/I64</f>
        <v>0</v>
      </c>
      <c r="L64" s="1">
        <f>K64/J64</f>
        <v>0</v>
      </c>
    </row>
    <row r="65" spans="1:13" x14ac:dyDescent="0.25">
      <c r="B65" s="1">
        <v>7</v>
      </c>
      <c r="C65" s="11" t="s">
        <v>44</v>
      </c>
      <c r="F65" s="1">
        <v>21.356999999999999</v>
      </c>
      <c r="G65" s="1">
        <v>1.2090000000000001</v>
      </c>
      <c r="H65" s="1">
        <v>5</v>
      </c>
      <c r="I65" s="1">
        <v>2.2040000000000002</v>
      </c>
      <c r="J65" s="1">
        <f t="shared" si="4"/>
        <v>48.450544464609791</v>
      </c>
      <c r="K65" s="1">
        <f t="shared" si="5"/>
        <v>2.7427404718693285</v>
      </c>
      <c r="L65" s="1">
        <f>K65/J65</f>
        <v>5.6609074308189365E-2</v>
      </c>
      <c r="M65" s="1">
        <f>L65*100</f>
        <v>5.6609074308189369</v>
      </c>
    </row>
    <row r="66" spans="1:13" x14ac:dyDescent="0.25">
      <c r="B66" s="1">
        <v>11</v>
      </c>
      <c r="C66" s="11" t="s">
        <v>45</v>
      </c>
      <c r="F66" s="1">
        <v>21.937000000000001</v>
      </c>
      <c r="H66" s="1">
        <v>5</v>
      </c>
      <c r="I66" s="1">
        <v>2.266</v>
      </c>
      <c r="J66" s="1">
        <f t="shared" si="4"/>
        <v>48.404677846425422</v>
      </c>
      <c r="K66" s="1">
        <f t="shared" si="5"/>
        <v>0</v>
      </c>
      <c r="L66" s="1">
        <f t="shared" ref="L66:L114" si="6">K66/J66</f>
        <v>0</v>
      </c>
    </row>
    <row r="67" spans="1:13" x14ac:dyDescent="0.25">
      <c r="B67" s="1">
        <v>19</v>
      </c>
      <c r="C67" s="1" t="s">
        <v>46</v>
      </c>
      <c r="F67" s="1">
        <v>27.631</v>
      </c>
      <c r="G67" s="1">
        <v>0.34599999999999997</v>
      </c>
      <c r="H67" s="1">
        <v>5</v>
      </c>
      <c r="I67" s="1">
        <v>2.2349999999999999</v>
      </c>
      <c r="J67" s="1">
        <f t="shared" si="4"/>
        <v>61.814317673378078</v>
      </c>
      <c r="K67" s="1">
        <f t="shared" si="5"/>
        <v>0.77404921700223717</v>
      </c>
      <c r="L67" s="1">
        <f t="shared" si="6"/>
        <v>1.2522167131120842E-2</v>
      </c>
      <c r="M67" s="1">
        <f>L67*100</f>
        <v>1.2522167131120843</v>
      </c>
    </row>
    <row r="68" spans="1:13" x14ac:dyDescent="0.25">
      <c r="B68" s="1">
        <v>23</v>
      </c>
      <c r="C68" s="1" t="s">
        <v>25</v>
      </c>
      <c r="F68" s="1">
        <v>10.496</v>
      </c>
      <c r="H68" s="1">
        <v>10</v>
      </c>
      <c r="I68" s="1">
        <v>2.7090000000000001</v>
      </c>
      <c r="J68" s="1">
        <f t="shared" si="4"/>
        <v>38.744924326319676</v>
      </c>
      <c r="K68" s="1">
        <f t="shared" si="5"/>
        <v>0</v>
      </c>
      <c r="L68" s="1">
        <f t="shared" si="6"/>
        <v>0</v>
      </c>
    </row>
    <row r="69" spans="1:13" x14ac:dyDescent="0.25">
      <c r="B69" s="1">
        <v>28</v>
      </c>
      <c r="C69" s="1" t="s">
        <v>26</v>
      </c>
      <c r="F69" s="1">
        <v>9.7149999999999999</v>
      </c>
      <c r="H69" s="1">
        <v>5</v>
      </c>
      <c r="I69" s="1">
        <v>2.2349999999999999</v>
      </c>
      <c r="J69" s="1">
        <f t="shared" si="4"/>
        <v>21.733780760626402</v>
      </c>
      <c r="K69" s="1">
        <f t="shared" si="5"/>
        <v>0</v>
      </c>
      <c r="L69" s="1">
        <f t="shared" si="6"/>
        <v>0</v>
      </c>
    </row>
    <row r="70" spans="1:13" x14ac:dyDescent="0.25">
      <c r="B70" s="1">
        <v>34</v>
      </c>
      <c r="C70" s="1" t="s">
        <v>27</v>
      </c>
      <c r="F70" s="1">
        <v>24.492000000000001</v>
      </c>
      <c r="H70" s="1">
        <v>5</v>
      </c>
      <c r="I70" s="1">
        <v>2.2349999999999999</v>
      </c>
      <c r="J70" s="1">
        <f t="shared" si="4"/>
        <v>54.791946308724839</v>
      </c>
      <c r="K70" s="1">
        <f t="shared" si="5"/>
        <v>0</v>
      </c>
      <c r="L70" s="1">
        <f t="shared" si="6"/>
        <v>0</v>
      </c>
    </row>
    <row r="71" spans="1:13" x14ac:dyDescent="0.25">
      <c r="B71" s="1">
        <v>37</v>
      </c>
      <c r="C71" s="1" t="s">
        <v>19</v>
      </c>
      <c r="F71" s="1">
        <v>18.739999999999998</v>
      </c>
      <c r="H71" s="1">
        <v>5</v>
      </c>
      <c r="I71" s="1">
        <v>2.2189999999999999</v>
      </c>
      <c r="J71" s="1">
        <f t="shared" si="4"/>
        <v>42.226228030644435</v>
      </c>
      <c r="K71" s="1">
        <f t="shared" si="5"/>
        <v>0</v>
      </c>
      <c r="L71" s="1">
        <f t="shared" si="6"/>
        <v>0</v>
      </c>
    </row>
    <row r="72" spans="1:13" x14ac:dyDescent="0.25">
      <c r="B72" s="1">
        <v>46</v>
      </c>
      <c r="C72" s="1" t="s">
        <v>47</v>
      </c>
      <c r="F72" s="1">
        <v>5.7850000000000001</v>
      </c>
      <c r="G72" s="1">
        <v>0.499</v>
      </c>
      <c r="H72" s="1">
        <v>10</v>
      </c>
      <c r="I72" s="1">
        <v>2.6789999999999998</v>
      </c>
      <c r="J72" s="1">
        <f>(F72*H72)/I72</f>
        <v>21.593878312803287</v>
      </c>
      <c r="K72" s="1">
        <f t="shared" si="5"/>
        <v>1.8626353116834642</v>
      </c>
      <c r="L72" s="1">
        <f t="shared" si="6"/>
        <v>8.6257562662057044E-2</v>
      </c>
      <c r="M72" s="1">
        <f>L72*100</f>
        <v>8.6257562662057037</v>
      </c>
    </row>
    <row r="73" spans="1:13" x14ac:dyDescent="0.25">
      <c r="B73" s="1">
        <v>50</v>
      </c>
      <c r="C73" s="1" t="s">
        <v>48</v>
      </c>
      <c r="F73" s="1">
        <v>5.7460000000000004</v>
      </c>
      <c r="G73" s="1">
        <v>0.42099999999999999</v>
      </c>
      <c r="H73" s="1">
        <v>10</v>
      </c>
      <c r="I73" s="1">
        <v>2.694</v>
      </c>
      <c r="J73" s="1">
        <f t="shared" si="4"/>
        <v>21.328878990348926</v>
      </c>
      <c r="K73" s="1">
        <f t="shared" si="5"/>
        <v>1.5627319970304381</v>
      </c>
      <c r="L73" s="1">
        <f t="shared" si="6"/>
        <v>7.3268360598677335E-2</v>
      </c>
      <c r="M73" s="1">
        <f>L73*100</f>
        <v>7.3268360598677331</v>
      </c>
    </row>
    <row r="74" spans="1:13" s="15" customFormat="1" x14ac:dyDescent="0.25">
      <c r="A74" s="15" t="s">
        <v>34</v>
      </c>
      <c r="B74" s="15">
        <v>2</v>
      </c>
      <c r="C74" s="15" t="s">
        <v>28</v>
      </c>
      <c r="F74" s="15">
        <v>33.639000000000003</v>
      </c>
      <c r="H74" s="15">
        <v>5</v>
      </c>
      <c r="I74" s="15">
        <v>2.2349999999999999</v>
      </c>
      <c r="J74" s="15">
        <f t="shared" si="4"/>
        <v>75.255033557047</v>
      </c>
      <c r="K74" s="15">
        <f t="shared" si="5"/>
        <v>0</v>
      </c>
      <c r="L74" s="15">
        <f t="shared" si="6"/>
        <v>0</v>
      </c>
    </row>
    <row r="75" spans="1:13" x14ac:dyDescent="0.25">
      <c r="B75" s="1">
        <v>23</v>
      </c>
      <c r="C75" s="1" t="s">
        <v>25</v>
      </c>
      <c r="F75" s="1">
        <v>30.294</v>
      </c>
      <c r="H75" s="1">
        <v>10</v>
      </c>
      <c r="I75" s="1">
        <v>2.6629999999999998</v>
      </c>
      <c r="J75" s="1">
        <f t="shared" si="4"/>
        <v>113.75891851295532</v>
      </c>
      <c r="K75" s="1">
        <f t="shared" si="5"/>
        <v>0</v>
      </c>
      <c r="L75" s="1">
        <f t="shared" si="6"/>
        <v>0</v>
      </c>
    </row>
    <row r="76" spans="1:13" x14ac:dyDescent="0.25">
      <c r="B76" s="2">
        <v>28</v>
      </c>
      <c r="F76" s="1">
        <v>59.442999999999998</v>
      </c>
      <c r="G76" s="1">
        <v>1.28</v>
      </c>
      <c r="H76" s="1">
        <v>5</v>
      </c>
      <c r="I76" s="1">
        <v>2.25</v>
      </c>
      <c r="J76" s="1">
        <f t="shared" si="4"/>
        <v>132.09555555555553</v>
      </c>
      <c r="K76" s="1">
        <f t="shared" si="5"/>
        <v>2.8444444444444446</v>
      </c>
      <c r="L76" s="1">
        <f t="shared" si="6"/>
        <v>2.15332335178238E-2</v>
      </c>
      <c r="M76" s="1">
        <f>L76*100</f>
        <v>2.15332335178238</v>
      </c>
    </row>
    <row r="77" spans="1:13" x14ac:dyDescent="0.25">
      <c r="B77" s="1">
        <v>29</v>
      </c>
      <c r="C77" s="1" t="s">
        <v>49</v>
      </c>
      <c r="F77" s="1">
        <v>21.53</v>
      </c>
      <c r="G77" s="1">
        <v>1.294</v>
      </c>
      <c r="H77" s="1">
        <v>10</v>
      </c>
      <c r="I77" s="1">
        <v>1.776</v>
      </c>
      <c r="J77" s="1">
        <f t="shared" si="4"/>
        <v>121.22747747747748</v>
      </c>
      <c r="K77" s="1">
        <f t="shared" si="5"/>
        <v>7.2860360360360366</v>
      </c>
      <c r="L77" s="1">
        <f t="shared" si="6"/>
        <v>6.0102183000464472E-2</v>
      </c>
      <c r="M77" s="1">
        <f>L77*100</f>
        <v>6.0102183000464473</v>
      </c>
    </row>
    <row r="78" spans="1:13" x14ac:dyDescent="0.25">
      <c r="B78" s="1">
        <v>37</v>
      </c>
      <c r="C78" s="1" t="s">
        <v>19</v>
      </c>
      <c r="F78" s="1">
        <v>39.414999999999999</v>
      </c>
      <c r="H78" s="1">
        <v>5</v>
      </c>
      <c r="I78" s="1">
        <v>2.2349999999999999</v>
      </c>
      <c r="J78" s="1">
        <f t="shared" si="4"/>
        <v>88.176733780760628</v>
      </c>
      <c r="K78" s="1">
        <f>(G78*H78)/I78</f>
        <v>0</v>
      </c>
      <c r="L78" s="1">
        <f t="shared" si="6"/>
        <v>0</v>
      </c>
    </row>
    <row r="79" spans="1:13" x14ac:dyDescent="0.25">
      <c r="B79" s="1">
        <v>51</v>
      </c>
      <c r="C79" s="1" t="s">
        <v>29</v>
      </c>
      <c r="F79" s="1">
        <v>29.318000000000001</v>
      </c>
      <c r="H79" s="1">
        <v>5</v>
      </c>
      <c r="I79" s="1">
        <v>2.2349999999999999</v>
      </c>
      <c r="J79" s="1">
        <f t="shared" si="4"/>
        <v>65.588366890380314</v>
      </c>
      <c r="K79" s="1">
        <f t="shared" si="5"/>
        <v>0</v>
      </c>
      <c r="L79" s="1">
        <f t="shared" si="6"/>
        <v>0</v>
      </c>
    </row>
    <row r="80" spans="1:13" x14ac:dyDescent="0.25">
      <c r="B80" s="1">
        <v>58</v>
      </c>
      <c r="C80" s="1" t="s">
        <v>50</v>
      </c>
      <c r="F80" s="1">
        <v>39.082000000000001</v>
      </c>
      <c r="G80" s="1">
        <v>0.94499999999999995</v>
      </c>
      <c r="H80" s="1">
        <v>5</v>
      </c>
      <c r="I80" s="1">
        <v>2.2349999999999999</v>
      </c>
      <c r="J80" s="1">
        <f t="shared" si="4"/>
        <v>87.431767337807614</v>
      </c>
      <c r="K80" s="1">
        <f t="shared" si="5"/>
        <v>2.1140939597315436</v>
      </c>
      <c r="L80" s="1">
        <f t="shared" si="6"/>
        <v>2.4179929379253874E-2</v>
      </c>
      <c r="M80" s="1">
        <f>L80*100</f>
        <v>2.4179929379253875</v>
      </c>
    </row>
    <row r="81" spans="1:13" x14ac:dyDescent="0.25">
      <c r="B81" s="1">
        <v>63</v>
      </c>
      <c r="C81" s="1" t="s">
        <v>30</v>
      </c>
      <c r="F81" s="1">
        <v>12.347</v>
      </c>
      <c r="H81" s="1">
        <v>20</v>
      </c>
      <c r="I81" s="1">
        <v>2.5870000000000002</v>
      </c>
      <c r="J81" s="1">
        <f t="shared" si="4"/>
        <v>95.454194047158865</v>
      </c>
      <c r="K81" s="1">
        <f t="shared" si="5"/>
        <v>0</v>
      </c>
      <c r="L81" s="1">
        <f t="shared" si="6"/>
        <v>0</v>
      </c>
      <c r="M81" s="1">
        <f t="shared" ref="M81:M114" si="7">L81*100</f>
        <v>0</v>
      </c>
    </row>
    <row r="82" spans="1:13" s="15" customFormat="1" x14ac:dyDescent="0.25">
      <c r="A82" s="15" t="s">
        <v>74</v>
      </c>
      <c r="B82" s="15">
        <v>1</v>
      </c>
      <c r="C82" s="16">
        <v>3</v>
      </c>
      <c r="D82" s="15" t="s">
        <v>77</v>
      </c>
      <c r="F82" s="15">
        <v>16.207000000000001</v>
      </c>
      <c r="G82" s="15">
        <v>0.19600000000000001</v>
      </c>
      <c r="H82" s="15">
        <v>5</v>
      </c>
      <c r="I82" s="15">
        <v>2.1890000000000001</v>
      </c>
      <c r="J82" s="15">
        <f t="shared" si="4"/>
        <v>37.019186843307445</v>
      </c>
      <c r="K82" s="15">
        <f t="shared" si="5"/>
        <v>0.44769301050708082</v>
      </c>
      <c r="L82" s="15">
        <f t="shared" si="6"/>
        <v>1.2093539828469179E-2</v>
      </c>
      <c r="M82" s="15">
        <f t="shared" si="7"/>
        <v>1.209353982846918</v>
      </c>
    </row>
    <row r="83" spans="1:13" x14ac:dyDescent="0.25">
      <c r="A83" s="1" t="s">
        <v>75</v>
      </c>
      <c r="B83" s="1">
        <v>4</v>
      </c>
      <c r="C83" s="2">
        <v>6</v>
      </c>
      <c r="D83" s="1" t="s">
        <v>78</v>
      </c>
      <c r="F83" s="1">
        <v>19.452000000000002</v>
      </c>
      <c r="G83" s="1">
        <v>0.48899999999999999</v>
      </c>
      <c r="H83" s="1">
        <v>5</v>
      </c>
      <c r="I83" s="1">
        <v>2.2200000000000002</v>
      </c>
      <c r="J83" s="1">
        <f t="shared" si="4"/>
        <v>43.810810810810807</v>
      </c>
      <c r="K83" s="1">
        <f t="shared" si="5"/>
        <v>1.1013513513513511</v>
      </c>
      <c r="L83" s="1">
        <f t="shared" si="6"/>
        <v>2.5138803207896358E-2</v>
      </c>
      <c r="M83" s="1">
        <f t="shared" si="7"/>
        <v>2.5138803207896356</v>
      </c>
    </row>
    <row r="84" spans="1:13" x14ac:dyDescent="0.25">
      <c r="A84" s="1" t="s">
        <v>76</v>
      </c>
      <c r="B84" s="1">
        <v>7</v>
      </c>
      <c r="C84" s="2">
        <v>10</v>
      </c>
      <c r="D84" s="1" t="s">
        <v>80</v>
      </c>
      <c r="F84" s="1">
        <v>3.847</v>
      </c>
      <c r="G84" s="1">
        <v>0.14199999999999999</v>
      </c>
      <c r="H84" s="1">
        <v>5</v>
      </c>
      <c r="I84" s="1">
        <v>1.347</v>
      </c>
      <c r="J84" s="1">
        <f t="shared" si="4"/>
        <v>14.279881217520416</v>
      </c>
      <c r="K84" s="1">
        <f t="shared" si="5"/>
        <v>0.52709725315515965</v>
      </c>
      <c r="L84" s="1">
        <f t="shared" si="6"/>
        <v>3.6911879386534965E-2</v>
      </c>
      <c r="M84" s="1">
        <f t="shared" si="7"/>
        <v>3.6911879386534965</v>
      </c>
    </row>
    <row r="85" spans="1:13" x14ac:dyDescent="0.25">
      <c r="B85" s="1" t="s">
        <v>83</v>
      </c>
      <c r="C85" s="2">
        <v>12</v>
      </c>
      <c r="D85" s="1" t="s">
        <v>81</v>
      </c>
      <c r="G85" s="1">
        <v>0.20399999999999999</v>
      </c>
      <c r="H85" s="1">
        <v>5</v>
      </c>
      <c r="I85" s="1">
        <v>1.347</v>
      </c>
      <c r="J85" s="1">
        <f t="shared" si="4"/>
        <v>0</v>
      </c>
      <c r="K85" s="1">
        <f t="shared" si="5"/>
        <v>0.75723830734966591</v>
      </c>
      <c r="L85" s="1">
        <v>0</v>
      </c>
      <c r="M85" s="1">
        <v>0</v>
      </c>
    </row>
    <row r="86" spans="1:13" x14ac:dyDescent="0.25">
      <c r="B86" s="1">
        <v>13</v>
      </c>
      <c r="C86" s="2">
        <v>15</v>
      </c>
      <c r="D86" s="1" t="s">
        <v>82</v>
      </c>
      <c r="F86" s="1">
        <v>25.76</v>
      </c>
      <c r="G86" s="1">
        <v>0.374</v>
      </c>
      <c r="H86" s="1">
        <v>5</v>
      </c>
      <c r="I86" s="1">
        <v>2.2189999999999999</v>
      </c>
      <c r="J86" s="1">
        <f t="shared" si="4"/>
        <v>58.044164037854898</v>
      </c>
      <c r="K86" s="1">
        <f t="shared" si="5"/>
        <v>0.84272194682289325</v>
      </c>
      <c r="L86" s="1">
        <f t="shared" si="6"/>
        <v>1.451863354037267E-2</v>
      </c>
      <c r="M86" s="1">
        <f t="shared" si="7"/>
        <v>1.451863354037267</v>
      </c>
    </row>
    <row r="87" spans="1:13" x14ac:dyDescent="0.25">
      <c r="B87" s="1">
        <v>16</v>
      </c>
      <c r="F87" s="1">
        <v>20.911000000000001</v>
      </c>
      <c r="H87" s="1">
        <v>5</v>
      </c>
      <c r="I87" s="1">
        <v>2.2189999999999999</v>
      </c>
      <c r="J87" s="1">
        <f t="shared" si="4"/>
        <v>47.11807120324471</v>
      </c>
      <c r="K87" s="1">
        <f t="shared" si="5"/>
        <v>0</v>
      </c>
      <c r="L87" s="1">
        <f t="shared" si="6"/>
        <v>0</v>
      </c>
      <c r="M87" s="1">
        <f t="shared" si="7"/>
        <v>0</v>
      </c>
    </row>
    <row r="88" spans="1:13" x14ac:dyDescent="0.25">
      <c r="B88" s="1">
        <v>18</v>
      </c>
      <c r="F88" s="1">
        <v>17.027999999999999</v>
      </c>
      <c r="H88" s="1">
        <v>5</v>
      </c>
      <c r="I88" s="1">
        <v>2.1890000000000001</v>
      </c>
      <c r="J88" s="1">
        <f t="shared" si="4"/>
        <v>38.894472361809036</v>
      </c>
      <c r="K88" s="1">
        <f t="shared" si="5"/>
        <v>0</v>
      </c>
      <c r="L88" s="1">
        <f t="shared" si="6"/>
        <v>0</v>
      </c>
      <c r="M88" s="1">
        <f t="shared" si="7"/>
        <v>0</v>
      </c>
    </row>
    <row r="89" spans="1:13" x14ac:dyDescent="0.25">
      <c r="B89" s="1">
        <v>20</v>
      </c>
      <c r="F89" s="1">
        <v>22.091000000000001</v>
      </c>
      <c r="H89" s="1">
        <v>5</v>
      </c>
      <c r="I89" s="1">
        <v>2.2200000000000002</v>
      </c>
      <c r="J89" s="1">
        <f t="shared" si="4"/>
        <v>49.754504504504503</v>
      </c>
      <c r="K89" s="1">
        <f t="shared" si="5"/>
        <v>0</v>
      </c>
      <c r="L89" s="1">
        <f t="shared" si="6"/>
        <v>0</v>
      </c>
      <c r="M89" s="1">
        <f t="shared" si="7"/>
        <v>0</v>
      </c>
    </row>
    <row r="90" spans="1:13" x14ac:dyDescent="0.25">
      <c r="B90" s="1">
        <v>23</v>
      </c>
      <c r="F90" s="1">
        <v>21.701000000000001</v>
      </c>
      <c r="H90" s="1">
        <v>5</v>
      </c>
      <c r="I90" s="1">
        <v>2.2349999999999999</v>
      </c>
      <c r="J90" s="1">
        <f t="shared" si="4"/>
        <v>48.548098434004473</v>
      </c>
      <c r="K90" s="1">
        <f t="shared" si="5"/>
        <v>0</v>
      </c>
      <c r="L90" s="1">
        <f t="shared" si="6"/>
        <v>0</v>
      </c>
      <c r="M90" s="1">
        <f t="shared" si="7"/>
        <v>0</v>
      </c>
    </row>
    <row r="91" spans="1:13" x14ac:dyDescent="0.25">
      <c r="B91" s="1">
        <v>26</v>
      </c>
      <c r="F91" s="1">
        <v>22.268999999999998</v>
      </c>
      <c r="H91" s="1">
        <v>5</v>
      </c>
      <c r="I91" s="1">
        <v>2.2349999999999999</v>
      </c>
      <c r="J91" s="1">
        <f t="shared" si="4"/>
        <v>49.818791946308728</v>
      </c>
      <c r="K91" s="1">
        <f t="shared" si="5"/>
        <v>0</v>
      </c>
      <c r="L91" s="1">
        <f t="shared" si="6"/>
        <v>0</v>
      </c>
      <c r="M91" s="1">
        <f t="shared" si="7"/>
        <v>0</v>
      </c>
    </row>
    <row r="92" spans="1:13" s="15" customFormat="1" x14ac:dyDescent="0.25">
      <c r="A92" s="15" t="s">
        <v>92</v>
      </c>
      <c r="B92" s="15">
        <v>1</v>
      </c>
      <c r="D92" s="15" t="s">
        <v>79</v>
      </c>
      <c r="F92" s="15">
        <v>28.117000000000001</v>
      </c>
      <c r="H92" s="15">
        <v>5</v>
      </c>
      <c r="I92" s="15">
        <v>2.2189999999999999</v>
      </c>
      <c r="J92" s="15">
        <f t="shared" si="4"/>
        <v>63.35511491662912</v>
      </c>
      <c r="K92" s="15">
        <f t="shared" si="5"/>
        <v>0</v>
      </c>
      <c r="L92" s="15">
        <f t="shared" si="6"/>
        <v>0</v>
      </c>
      <c r="M92" s="15">
        <f t="shared" si="7"/>
        <v>0</v>
      </c>
    </row>
    <row r="93" spans="1:13" x14ac:dyDescent="0.25">
      <c r="A93" s="1" t="s">
        <v>84</v>
      </c>
      <c r="B93" s="1" t="s">
        <v>64</v>
      </c>
      <c r="D93" s="1" t="s">
        <v>86</v>
      </c>
      <c r="F93" s="1">
        <v>14.193</v>
      </c>
      <c r="H93" s="1">
        <v>5</v>
      </c>
      <c r="I93" s="1">
        <v>2.2189999999999999</v>
      </c>
      <c r="J93" s="1">
        <f t="shared" si="4"/>
        <v>31.980621901757551</v>
      </c>
      <c r="K93" s="1">
        <f t="shared" si="5"/>
        <v>0</v>
      </c>
      <c r="L93" s="1">
        <f t="shared" si="6"/>
        <v>0</v>
      </c>
      <c r="M93" s="1">
        <f t="shared" si="7"/>
        <v>0</v>
      </c>
    </row>
    <row r="94" spans="1:13" x14ac:dyDescent="0.25">
      <c r="A94" s="1" t="s">
        <v>85</v>
      </c>
      <c r="B94" s="1">
        <v>5</v>
      </c>
      <c r="C94" s="2">
        <v>6</v>
      </c>
      <c r="D94" s="1" t="s">
        <v>87</v>
      </c>
      <c r="F94" s="1">
        <v>22.273</v>
      </c>
      <c r="G94" s="1">
        <v>0.35599999999999998</v>
      </c>
      <c r="H94" s="1">
        <v>5</v>
      </c>
      <c r="I94" s="1">
        <v>2.2349999999999999</v>
      </c>
      <c r="J94" s="1">
        <f t="shared" si="4"/>
        <v>49.827740492170022</v>
      </c>
      <c r="K94" s="1">
        <f t="shared" si="5"/>
        <v>0.79642058165548091</v>
      </c>
      <c r="L94" s="1">
        <f t="shared" si="6"/>
        <v>1.5983477753333631E-2</v>
      </c>
      <c r="M94" s="1">
        <f t="shared" si="7"/>
        <v>1.598347775333363</v>
      </c>
    </row>
    <row r="95" spans="1:13" x14ac:dyDescent="0.25">
      <c r="B95" s="1" t="s">
        <v>93</v>
      </c>
      <c r="D95" s="1" t="s">
        <v>88</v>
      </c>
      <c r="F95" s="1">
        <v>8.44</v>
      </c>
      <c r="H95" s="1">
        <v>5</v>
      </c>
      <c r="I95" s="1">
        <v>2.2349999999999999</v>
      </c>
      <c r="J95" s="1">
        <f t="shared" si="4"/>
        <v>18.881431767337808</v>
      </c>
      <c r="K95" s="1">
        <f t="shared" si="5"/>
        <v>0</v>
      </c>
      <c r="L95" s="1">
        <f t="shared" si="6"/>
        <v>0</v>
      </c>
      <c r="M95" s="1">
        <f t="shared" si="7"/>
        <v>0</v>
      </c>
    </row>
    <row r="96" spans="1:13" x14ac:dyDescent="0.25">
      <c r="B96" s="1">
        <v>8</v>
      </c>
      <c r="C96" s="2">
        <v>10</v>
      </c>
      <c r="D96" s="1" t="s">
        <v>89</v>
      </c>
      <c r="F96" s="1">
        <v>34.476999999999997</v>
      </c>
      <c r="G96" s="1">
        <v>1.0349999999999999</v>
      </c>
      <c r="H96" s="1">
        <v>5</v>
      </c>
      <c r="I96" s="1">
        <v>2.2189999999999999</v>
      </c>
      <c r="J96" s="1">
        <f t="shared" si="4"/>
        <v>77.685894547093284</v>
      </c>
      <c r="K96" s="1">
        <f t="shared" si="5"/>
        <v>2.3321315908066698</v>
      </c>
      <c r="L96" s="1">
        <f t="shared" si="6"/>
        <v>3.0020013342228154E-2</v>
      </c>
      <c r="M96" s="1">
        <f t="shared" si="7"/>
        <v>3.0020013342228156</v>
      </c>
    </row>
    <row r="97" spans="2:13" x14ac:dyDescent="0.25">
      <c r="B97" s="1">
        <v>11</v>
      </c>
      <c r="D97" s="1" t="s">
        <v>90</v>
      </c>
      <c r="F97" s="1">
        <v>8.5990000000000002</v>
      </c>
      <c r="H97" s="1">
        <v>5</v>
      </c>
      <c r="I97" s="1">
        <v>1.347</v>
      </c>
      <c r="J97" s="1">
        <f t="shared" si="4"/>
        <v>31.919079435783225</v>
      </c>
      <c r="K97" s="1">
        <f t="shared" si="5"/>
        <v>0</v>
      </c>
      <c r="L97" s="1">
        <f t="shared" si="6"/>
        <v>0</v>
      </c>
      <c r="M97" s="1">
        <f t="shared" si="7"/>
        <v>0</v>
      </c>
    </row>
    <row r="98" spans="2:13" x14ac:dyDescent="0.25">
      <c r="B98" s="1" t="s">
        <v>94</v>
      </c>
      <c r="D98" s="1" t="s">
        <v>91</v>
      </c>
      <c r="F98" s="1">
        <v>6.8179999999999996</v>
      </c>
      <c r="H98" s="1">
        <v>5</v>
      </c>
      <c r="I98" s="1">
        <v>1.347</v>
      </c>
      <c r="J98" s="1">
        <f t="shared" si="4"/>
        <v>25.308092056421675</v>
      </c>
      <c r="K98" s="1">
        <f t="shared" si="5"/>
        <v>0</v>
      </c>
      <c r="L98" s="1">
        <f t="shared" si="6"/>
        <v>0</v>
      </c>
      <c r="M98" s="1">
        <f t="shared" si="7"/>
        <v>0</v>
      </c>
    </row>
    <row r="99" spans="2:13" x14ac:dyDescent="0.25">
      <c r="B99" s="1">
        <v>14</v>
      </c>
      <c r="C99" s="2">
        <v>15</v>
      </c>
      <c r="D99" s="1" t="s">
        <v>95</v>
      </c>
      <c r="G99" s="1">
        <v>0.56799999999999995</v>
      </c>
      <c r="H99" s="1">
        <v>5</v>
      </c>
      <c r="I99" s="1">
        <v>1.347</v>
      </c>
      <c r="J99" s="1">
        <f t="shared" si="4"/>
        <v>0</v>
      </c>
      <c r="K99" s="1">
        <f t="shared" si="5"/>
        <v>2.1083890126206386</v>
      </c>
      <c r="L99" s="1">
        <v>0</v>
      </c>
      <c r="M99" s="1">
        <f t="shared" si="7"/>
        <v>0</v>
      </c>
    </row>
    <row r="100" spans="2:13" x14ac:dyDescent="0.25">
      <c r="B100" s="1">
        <v>14</v>
      </c>
      <c r="C100" s="2">
        <v>16</v>
      </c>
      <c r="D100" s="1" t="s">
        <v>95</v>
      </c>
      <c r="G100" s="1">
        <v>0.94399999999999995</v>
      </c>
      <c r="H100" s="1">
        <v>5</v>
      </c>
      <c r="I100" s="1">
        <v>1.347</v>
      </c>
      <c r="J100" s="1">
        <f t="shared" si="4"/>
        <v>0</v>
      </c>
      <c r="K100" s="1">
        <f t="shared" si="5"/>
        <v>3.5040831477357091</v>
      </c>
      <c r="L100" s="1">
        <v>0</v>
      </c>
      <c r="M100" s="1">
        <f t="shared" si="7"/>
        <v>0</v>
      </c>
    </row>
    <row r="101" spans="2:13" x14ac:dyDescent="0.25">
      <c r="B101" s="1">
        <v>14</v>
      </c>
      <c r="C101" s="2">
        <v>17</v>
      </c>
      <c r="D101" s="1" t="s">
        <v>95</v>
      </c>
      <c r="G101" s="1">
        <v>0.78</v>
      </c>
      <c r="H101" s="1">
        <v>5</v>
      </c>
      <c r="I101" s="1">
        <v>1.347</v>
      </c>
      <c r="J101" s="1">
        <f t="shared" si="4"/>
        <v>0</v>
      </c>
      <c r="K101" s="1">
        <f t="shared" si="5"/>
        <v>2.8953229398663702</v>
      </c>
      <c r="L101" s="1">
        <v>0</v>
      </c>
      <c r="M101" s="1">
        <f t="shared" si="7"/>
        <v>0</v>
      </c>
    </row>
    <row r="102" spans="2:13" x14ac:dyDescent="0.25">
      <c r="B102" s="1">
        <v>19</v>
      </c>
      <c r="C102" s="2"/>
      <c r="F102" s="1">
        <v>21.009</v>
      </c>
      <c r="H102" s="1">
        <v>5</v>
      </c>
      <c r="I102" s="1">
        <v>2.2349999999999999</v>
      </c>
      <c r="J102" s="1">
        <f t="shared" si="4"/>
        <v>47</v>
      </c>
      <c r="K102" s="1">
        <f t="shared" si="5"/>
        <v>0</v>
      </c>
      <c r="L102" s="1">
        <f t="shared" si="6"/>
        <v>0</v>
      </c>
      <c r="M102" s="1">
        <f t="shared" si="7"/>
        <v>0</v>
      </c>
    </row>
    <row r="103" spans="2:13" x14ac:dyDescent="0.25">
      <c r="B103" s="1" t="s">
        <v>96</v>
      </c>
      <c r="F103" s="1">
        <v>19.702000000000002</v>
      </c>
      <c r="H103" s="1">
        <v>5</v>
      </c>
      <c r="I103" s="1">
        <v>2.2349999999999999</v>
      </c>
      <c r="J103" s="1">
        <f t="shared" si="4"/>
        <v>44.076062639821032</v>
      </c>
      <c r="K103" s="1">
        <f t="shared" si="5"/>
        <v>0</v>
      </c>
      <c r="L103" s="1">
        <f t="shared" si="6"/>
        <v>0</v>
      </c>
      <c r="M103" s="1">
        <f t="shared" si="7"/>
        <v>0</v>
      </c>
    </row>
    <row r="104" spans="2:13" x14ac:dyDescent="0.25">
      <c r="B104" s="1">
        <v>22</v>
      </c>
      <c r="F104" s="1">
        <v>40.718000000000004</v>
      </c>
      <c r="H104" s="1">
        <v>5</v>
      </c>
      <c r="I104" s="1">
        <v>2.2189999999999999</v>
      </c>
      <c r="J104" s="1">
        <f t="shared" si="4"/>
        <v>91.748535376295649</v>
      </c>
      <c r="K104" s="1">
        <f t="shared" si="5"/>
        <v>0</v>
      </c>
      <c r="L104" s="1">
        <f t="shared" si="6"/>
        <v>0</v>
      </c>
      <c r="M104" s="1">
        <f t="shared" si="7"/>
        <v>0</v>
      </c>
    </row>
    <row r="105" spans="2:13" x14ac:dyDescent="0.25">
      <c r="B105" s="1">
        <v>25</v>
      </c>
      <c r="F105" s="1">
        <v>11.052</v>
      </c>
      <c r="H105" s="1">
        <v>5</v>
      </c>
      <c r="I105" s="1">
        <v>1.3779999999999999</v>
      </c>
      <c r="J105" s="1">
        <f t="shared" si="4"/>
        <v>40.101596516690861</v>
      </c>
      <c r="K105" s="1">
        <f t="shared" si="5"/>
        <v>0</v>
      </c>
      <c r="L105" s="1">
        <f t="shared" si="6"/>
        <v>0</v>
      </c>
      <c r="M105" s="1">
        <f t="shared" si="7"/>
        <v>0</v>
      </c>
    </row>
    <row r="106" spans="2:13" x14ac:dyDescent="0.25">
      <c r="B106" s="1" t="s">
        <v>97</v>
      </c>
      <c r="F106" s="1">
        <v>6.0830000000000002</v>
      </c>
      <c r="H106" s="1">
        <v>5</v>
      </c>
      <c r="I106" s="1">
        <v>1.3779999999999999</v>
      </c>
      <c r="J106" s="1">
        <f t="shared" si="4"/>
        <v>22.071843251088534</v>
      </c>
      <c r="K106" s="1">
        <f t="shared" si="5"/>
        <v>0</v>
      </c>
      <c r="L106" s="1">
        <f t="shared" si="6"/>
        <v>0</v>
      </c>
      <c r="M106" s="1">
        <f t="shared" si="7"/>
        <v>0</v>
      </c>
    </row>
    <row r="107" spans="2:13" x14ac:dyDescent="0.25">
      <c r="B107" s="1">
        <v>28</v>
      </c>
      <c r="C107" s="2">
        <v>34</v>
      </c>
      <c r="F107" s="1">
        <v>8.5879999999999992</v>
      </c>
      <c r="G107" s="1">
        <v>0.151</v>
      </c>
      <c r="H107" s="1">
        <v>5</v>
      </c>
      <c r="I107" s="1">
        <v>1.347</v>
      </c>
      <c r="J107" s="1">
        <f t="shared" si="4"/>
        <v>31.87824795842613</v>
      </c>
      <c r="K107" s="1">
        <f t="shared" si="5"/>
        <v>0.56050482553823311</v>
      </c>
      <c r="L107" s="1">
        <f t="shared" si="6"/>
        <v>1.7582673497904055E-2</v>
      </c>
      <c r="M107" s="1">
        <f t="shared" si="7"/>
        <v>1.7582673497904056</v>
      </c>
    </row>
    <row r="108" spans="2:13" x14ac:dyDescent="0.25">
      <c r="B108" s="1" t="s">
        <v>98</v>
      </c>
      <c r="F108" s="1">
        <v>8.8930000000000007</v>
      </c>
      <c r="H108" s="1">
        <v>5</v>
      </c>
      <c r="I108" s="1">
        <v>1.347</v>
      </c>
      <c r="J108" s="1">
        <f t="shared" si="4"/>
        <v>33.010393466963627</v>
      </c>
      <c r="K108" s="1">
        <f t="shared" si="5"/>
        <v>0</v>
      </c>
      <c r="L108" s="1">
        <f t="shared" si="6"/>
        <v>0</v>
      </c>
      <c r="M108" s="1">
        <f t="shared" si="7"/>
        <v>0</v>
      </c>
    </row>
    <row r="109" spans="2:13" x14ac:dyDescent="0.25">
      <c r="B109" s="1">
        <v>36</v>
      </c>
      <c r="F109" s="1">
        <v>12.438000000000001</v>
      </c>
      <c r="H109" s="1">
        <v>5</v>
      </c>
      <c r="I109" s="1">
        <v>2.25</v>
      </c>
      <c r="J109" s="1">
        <f t="shared" si="4"/>
        <v>27.64</v>
      </c>
      <c r="K109" s="1">
        <f t="shared" si="5"/>
        <v>0</v>
      </c>
      <c r="L109" s="1">
        <f t="shared" si="6"/>
        <v>0</v>
      </c>
      <c r="M109" s="1">
        <f t="shared" si="7"/>
        <v>0</v>
      </c>
    </row>
    <row r="110" spans="2:13" x14ac:dyDescent="0.25">
      <c r="B110" s="1">
        <v>43</v>
      </c>
      <c r="F110" s="1">
        <v>11.686</v>
      </c>
      <c r="H110" s="1">
        <v>5</v>
      </c>
      <c r="I110" s="1">
        <v>2.1890000000000001</v>
      </c>
      <c r="J110" s="1">
        <f t="shared" si="4"/>
        <v>26.692553677478301</v>
      </c>
      <c r="K110" s="1">
        <f t="shared" si="5"/>
        <v>0</v>
      </c>
      <c r="L110" s="1">
        <f t="shared" si="6"/>
        <v>0</v>
      </c>
      <c r="M110" s="1">
        <f t="shared" si="7"/>
        <v>0</v>
      </c>
    </row>
    <row r="111" spans="2:13" ht="15.75" customHeight="1" x14ac:dyDescent="0.25">
      <c r="B111" s="1">
        <v>46</v>
      </c>
      <c r="F111" s="1">
        <v>20.007000000000001</v>
      </c>
      <c r="H111" s="1">
        <v>5</v>
      </c>
      <c r="I111" s="1">
        <v>2.2189999999999999</v>
      </c>
      <c r="J111" s="1">
        <f t="shared" si="4"/>
        <v>45.081117620549804</v>
      </c>
      <c r="K111" s="1">
        <f t="shared" si="5"/>
        <v>0</v>
      </c>
      <c r="L111" s="1">
        <f t="shared" si="6"/>
        <v>0</v>
      </c>
      <c r="M111" s="1">
        <f t="shared" si="7"/>
        <v>0</v>
      </c>
    </row>
    <row r="112" spans="2:13" ht="15.75" customHeight="1" x14ac:dyDescent="0.25">
      <c r="B112" s="1">
        <v>49</v>
      </c>
      <c r="F112" s="1">
        <v>19.768000000000001</v>
      </c>
      <c r="H112" s="1">
        <v>5</v>
      </c>
      <c r="I112" s="1">
        <v>2.1890000000000001</v>
      </c>
      <c r="J112" s="1">
        <f t="shared" si="4"/>
        <v>45.153037916857009</v>
      </c>
      <c r="K112" s="1">
        <f t="shared" si="5"/>
        <v>0</v>
      </c>
      <c r="L112" s="1">
        <f t="shared" si="6"/>
        <v>0</v>
      </c>
      <c r="M112" s="1">
        <f t="shared" si="7"/>
        <v>0</v>
      </c>
    </row>
    <row r="113" spans="2:13" ht="15.75" customHeight="1" x14ac:dyDescent="0.25">
      <c r="B113" s="1">
        <v>51</v>
      </c>
      <c r="F113" s="1">
        <v>17.448</v>
      </c>
      <c r="H113" s="1">
        <v>5</v>
      </c>
      <c r="I113" s="1">
        <v>2.2174</v>
      </c>
      <c r="J113" s="1">
        <f t="shared" si="4"/>
        <v>39.343375124019126</v>
      </c>
      <c r="K113" s="1">
        <f t="shared" si="5"/>
        <v>0</v>
      </c>
      <c r="L113" s="1">
        <f t="shared" si="6"/>
        <v>0</v>
      </c>
      <c r="M113" s="1">
        <f t="shared" si="7"/>
        <v>0</v>
      </c>
    </row>
    <row r="114" spans="2:13" ht="15.75" customHeight="1" x14ac:dyDescent="0.25">
      <c r="B114" s="1">
        <v>54</v>
      </c>
      <c r="F114" s="1">
        <v>15.417999999999999</v>
      </c>
      <c r="H114" s="1">
        <v>5</v>
      </c>
      <c r="I114" s="1">
        <v>1.3160000000000001</v>
      </c>
      <c r="J114" s="1">
        <f t="shared" si="4"/>
        <v>58.579027355623097</v>
      </c>
      <c r="K114" s="1">
        <f t="shared" si="5"/>
        <v>0</v>
      </c>
      <c r="L114" s="1">
        <f t="shared" si="6"/>
        <v>0</v>
      </c>
      <c r="M114" s="1">
        <f t="shared" si="7"/>
        <v>0</v>
      </c>
    </row>
    <row r="115" spans="2:13" x14ac:dyDescent="0.25">
      <c r="B115" s="1">
        <v>54</v>
      </c>
      <c r="C115" s="2">
        <v>55</v>
      </c>
      <c r="G115" s="1">
        <v>23.193999999999999</v>
      </c>
      <c r="H115" s="1">
        <v>2</v>
      </c>
      <c r="I115" s="1">
        <v>2.3570000000000002</v>
      </c>
      <c r="J115" s="1">
        <f t="shared" si="4"/>
        <v>0</v>
      </c>
      <c r="K115" s="1">
        <f t="shared" si="5"/>
        <v>19.680950360627914</v>
      </c>
      <c r="L115" s="1">
        <v>0</v>
      </c>
      <c r="M115" s="1">
        <v>0</v>
      </c>
    </row>
    <row r="116" spans="2:13" x14ac:dyDescent="0.25">
      <c r="B116" s="1">
        <v>54</v>
      </c>
      <c r="C116" s="2">
        <v>56</v>
      </c>
      <c r="G116" s="1">
        <v>10.956</v>
      </c>
      <c r="H116" s="1">
        <v>2</v>
      </c>
      <c r="I116" s="1">
        <v>2.3570000000000002</v>
      </c>
      <c r="J116" s="1">
        <f t="shared" si="4"/>
        <v>0</v>
      </c>
      <c r="K116" s="1">
        <f t="shared" si="5"/>
        <v>9.2965634280865501</v>
      </c>
      <c r="L116" s="1">
        <v>0</v>
      </c>
      <c r="M116" s="1">
        <v>0</v>
      </c>
    </row>
    <row r="117" spans="2:13" x14ac:dyDescent="0.25">
      <c r="B117" s="1">
        <v>54</v>
      </c>
      <c r="C117" s="2" t="s">
        <v>99</v>
      </c>
      <c r="G117" s="1">
        <v>8.6839999999999993</v>
      </c>
      <c r="H117" s="1">
        <v>2</v>
      </c>
      <c r="I117" s="1">
        <v>2.3570000000000002</v>
      </c>
      <c r="J117" s="1">
        <f t="shared" si="4"/>
        <v>0</v>
      </c>
      <c r="K117" s="1">
        <f t="shared" si="5"/>
        <v>7.3686890114552384</v>
      </c>
      <c r="L117" s="1">
        <v>0</v>
      </c>
      <c r="M117" s="1">
        <v>0</v>
      </c>
    </row>
    <row r="118" spans="2:13" x14ac:dyDescent="0.25">
      <c r="B118" s="1">
        <v>54</v>
      </c>
      <c r="C118" s="2">
        <v>57</v>
      </c>
      <c r="G118" s="1">
        <v>7.1840000000000002</v>
      </c>
      <c r="H118" s="1">
        <v>2</v>
      </c>
      <c r="I118" s="1">
        <v>2.3420000000000001</v>
      </c>
      <c r="J118" s="1">
        <f t="shared" si="4"/>
        <v>0</v>
      </c>
      <c r="K118" s="1">
        <f t="shared" si="5"/>
        <v>6.1349274124679756</v>
      </c>
      <c r="L118" s="1">
        <v>0</v>
      </c>
      <c r="M118" s="1">
        <v>0</v>
      </c>
    </row>
    <row r="119" spans="2:13" x14ac:dyDescent="0.25">
      <c r="B119" s="1">
        <v>54</v>
      </c>
      <c r="C119" s="2">
        <v>58</v>
      </c>
      <c r="G119" s="1">
        <v>9.7829999999999995</v>
      </c>
      <c r="H119" s="1">
        <v>0.5</v>
      </c>
      <c r="I119" s="1">
        <v>1.3620000000000001</v>
      </c>
      <c r="J119" s="1">
        <f t="shared" si="4"/>
        <v>0</v>
      </c>
      <c r="K119" s="1">
        <f t="shared" si="5"/>
        <v>3.5914096916299556</v>
      </c>
      <c r="L119" s="1">
        <v>0</v>
      </c>
      <c r="M119" s="1">
        <v>0</v>
      </c>
    </row>
    <row r="120" spans="2:13" x14ac:dyDescent="0.25">
      <c r="B120" s="1">
        <v>63</v>
      </c>
      <c r="C120" s="2"/>
      <c r="F120" s="1">
        <v>15.704000000000001</v>
      </c>
      <c r="H120" s="1">
        <v>5</v>
      </c>
      <c r="I120" s="1">
        <v>2.2349999999999999</v>
      </c>
      <c r="J120" s="1">
        <f t="shared" si="4"/>
        <v>35.131991051454143</v>
      </c>
      <c r="K120" s="1">
        <f t="shared" si="5"/>
        <v>0</v>
      </c>
      <c r="L120" s="1">
        <v>0</v>
      </c>
      <c r="M120" s="1">
        <v>0</v>
      </c>
    </row>
    <row r="121" spans="2:13" x14ac:dyDescent="0.25">
      <c r="B121" s="1">
        <v>63</v>
      </c>
      <c r="C121" s="2">
        <v>64</v>
      </c>
      <c r="G121" s="1">
        <v>6.3689999999999998</v>
      </c>
      <c r="H121" s="1">
        <v>2</v>
      </c>
      <c r="I121" s="1">
        <v>2.3879999999999999</v>
      </c>
      <c r="J121" s="1">
        <f t="shared" si="4"/>
        <v>0</v>
      </c>
      <c r="K121" s="1">
        <f t="shared" si="5"/>
        <v>5.3341708542713571</v>
      </c>
      <c r="L121" s="1">
        <v>0</v>
      </c>
      <c r="M121" s="1">
        <v>0</v>
      </c>
    </row>
    <row r="122" spans="2:13" x14ac:dyDescent="0.25">
      <c r="B122" s="1">
        <v>63</v>
      </c>
      <c r="C122" s="2" t="s">
        <v>100</v>
      </c>
      <c r="G122" s="1">
        <v>3.98</v>
      </c>
      <c r="H122" s="1">
        <v>2</v>
      </c>
      <c r="I122" s="1">
        <v>2.3879999999999999</v>
      </c>
      <c r="J122" s="1">
        <f t="shared" si="4"/>
        <v>0</v>
      </c>
      <c r="K122" s="1">
        <f t="shared" si="5"/>
        <v>3.3333333333333335</v>
      </c>
      <c r="L122" s="1">
        <v>0</v>
      </c>
      <c r="M122" s="1">
        <v>0</v>
      </c>
    </row>
    <row r="123" spans="2:13" x14ac:dyDescent="0.25">
      <c r="B123" s="1">
        <v>63</v>
      </c>
      <c r="C123" s="2">
        <v>65</v>
      </c>
      <c r="G123" s="1">
        <v>8.7639999999999993</v>
      </c>
      <c r="H123" s="1">
        <v>2</v>
      </c>
      <c r="I123" s="1">
        <v>2.3730000000000002</v>
      </c>
      <c r="J123" s="1">
        <f t="shared" si="4"/>
        <v>0</v>
      </c>
      <c r="K123" s="1">
        <f t="shared" si="5"/>
        <v>7.3864306784660752</v>
      </c>
      <c r="L123" s="1">
        <v>0</v>
      </c>
      <c r="M123" s="1">
        <v>0</v>
      </c>
    </row>
    <row r="124" spans="2:13" x14ac:dyDescent="0.25">
      <c r="C124" s="2">
        <v>69</v>
      </c>
      <c r="G124" s="1">
        <v>8.5020000000000007</v>
      </c>
      <c r="H124" s="1">
        <v>2</v>
      </c>
      <c r="I124" s="1">
        <v>2.3570000000000002</v>
      </c>
      <c r="J124" s="1">
        <f t="shared" si="4"/>
        <v>0</v>
      </c>
      <c r="K124" s="1">
        <f t="shared" si="5"/>
        <v>7.2142554094187528</v>
      </c>
      <c r="L124" s="1">
        <v>0</v>
      </c>
      <c r="M124" s="1">
        <v>0</v>
      </c>
    </row>
    <row r="125" spans="2:13" x14ac:dyDescent="0.25">
      <c r="C125" s="2" t="s">
        <v>101</v>
      </c>
      <c r="G125" s="1">
        <v>8.4339999999999993</v>
      </c>
      <c r="H125" s="1">
        <v>2</v>
      </c>
      <c r="I125" s="1">
        <v>2.3570000000000002</v>
      </c>
      <c r="J125" s="1">
        <f t="shared" si="4"/>
        <v>0</v>
      </c>
      <c r="K125" s="1">
        <f t="shared" si="5"/>
        <v>7.1565549427238002</v>
      </c>
      <c r="L125" s="1">
        <v>0</v>
      </c>
      <c r="M125" s="1">
        <v>0</v>
      </c>
    </row>
    <row r="126" spans="2:13" x14ac:dyDescent="0.25">
      <c r="C126" s="2" t="s">
        <v>102</v>
      </c>
      <c r="G126" s="1">
        <v>9.6129999999999995</v>
      </c>
      <c r="H126" s="1">
        <v>2</v>
      </c>
      <c r="I126" s="1">
        <v>2.3570000000000002</v>
      </c>
      <c r="J126" s="1">
        <f t="shared" si="4"/>
        <v>0</v>
      </c>
      <c r="K126" s="1">
        <f t="shared" si="5"/>
        <v>8.1569792108612624</v>
      </c>
      <c r="L126" s="1">
        <v>0</v>
      </c>
      <c r="M126" s="1">
        <v>0</v>
      </c>
    </row>
    <row r="127" spans="2:13" x14ac:dyDescent="0.25">
      <c r="C127" s="2">
        <v>70</v>
      </c>
      <c r="G127" s="1">
        <v>26.788</v>
      </c>
      <c r="H127" s="1">
        <v>2</v>
      </c>
      <c r="I127" s="1">
        <v>2.3879999999999999</v>
      </c>
      <c r="J127" s="1">
        <f t="shared" si="4"/>
        <v>0</v>
      </c>
      <c r="K127" s="1">
        <f t="shared" si="5"/>
        <v>22.435510887772196</v>
      </c>
      <c r="L127" s="1">
        <v>0</v>
      </c>
      <c r="M127" s="1">
        <v>0</v>
      </c>
    </row>
    <row r="128" spans="2:13" x14ac:dyDescent="0.25">
      <c r="C128" s="2">
        <v>71</v>
      </c>
      <c r="G128" s="1">
        <v>13.548999999999999</v>
      </c>
      <c r="H128" s="1">
        <v>2</v>
      </c>
      <c r="I128" s="1">
        <v>2.3719999999999999</v>
      </c>
      <c r="J128" s="1">
        <f t="shared" si="4"/>
        <v>0</v>
      </c>
      <c r="K128" s="1">
        <f t="shared" si="5"/>
        <v>11.424114671163576</v>
      </c>
      <c r="L128" s="1">
        <v>0</v>
      </c>
      <c r="M128" s="1">
        <v>0</v>
      </c>
    </row>
    <row r="129" spans="1:13" x14ac:dyDescent="0.25">
      <c r="B129" s="1">
        <v>72</v>
      </c>
      <c r="C129" s="2" t="s">
        <v>103</v>
      </c>
      <c r="F129" s="1">
        <v>32.442</v>
      </c>
      <c r="G129" s="1">
        <v>9.9190000000000005</v>
      </c>
      <c r="H129" s="1">
        <v>5</v>
      </c>
      <c r="I129" s="1">
        <v>2.2349999999999999</v>
      </c>
      <c r="J129" s="1">
        <f t="shared" si="4"/>
        <v>72.577181208053702</v>
      </c>
      <c r="K129" s="1">
        <f t="shared" si="5"/>
        <v>22.190156599552573</v>
      </c>
      <c r="L129" s="1">
        <v>0</v>
      </c>
      <c r="M129" s="1">
        <v>0</v>
      </c>
    </row>
    <row r="130" spans="1:13" x14ac:dyDescent="0.25">
      <c r="B130" s="1">
        <v>72</v>
      </c>
      <c r="C130" s="2">
        <v>75</v>
      </c>
      <c r="G130" s="1">
        <v>7.7370000000000001</v>
      </c>
      <c r="H130" s="1">
        <v>5</v>
      </c>
      <c r="I130" s="1">
        <v>2.2349999999999999</v>
      </c>
      <c r="J130" s="1">
        <f t="shared" ref="J130:J132" si="8">(F130*H130)/I130</f>
        <v>0</v>
      </c>
      <c r="K130" s="1">
        <f t="shared" si="5"/>
        <v>17.308724832214768</v>
      </c>
      <c r="L130" s="1">
        <v>0</v>
      </c>
      <c r="M130" s="1">
        <v>0</v>
      </c>
    </row>
    <row r="131" spans="1:13" x14ac:dyDescent="0.25">
      <c r="B131" s="1">
        <v>76</v>
      </c>
      <c r="C131" s="2"/>
      <c r="F131" s="1">
        <v>10.919</v>
      </c>
      <c r="H131" s="1">
        <v>5</v>
      </c>
      <c r="I131" s="1">
        <v>1.347</v>
      </c>
      <c r="J131" s="1">
        <f t="shared" si="8"/>
        <v>40.530809205642164</v>
      </c>
      <c r="K131" s="1">
        <f t="shared" si="5"/>
        <v>0</v>
      </c>
      <c r="L131" s="1">
        <v>0</v>
      </c>
      <c r="M131" s="1">
        <v>0</v>
      </c>
    </row>
    <row r="132" spans="1:13" x14ac:dyDescent="0.25">
      <c r="B132" s="1">
        <v>77</v>
      </c>
      <c r="C132" s="2">
        <v>78</v>
      </c>
      <c r="F132" s="1">
        <v>16.146000000000001</v>
      </c>
      <c r="G132" s="1">
        <v>4.6529999999999996</v>
      </c>
      <c r="H132" s="1">
        <v>5</v>
      </c>
      <c r="I132" s="1">
        <v>2.1890000000000001</v>
      </c>
      <c r="J132" s="1">
        <f t="shared" si="8"/>
        <v>36.879853814527181</v>
      </c>
      <c r="K132" s="1">
        <f t="shared" si="5"/>
        <v>10.628140703517586</v>
      </c>
      <c r="L132" s="1">
        <v>0</v>
      </c>
      <c r="M132" s="1">
        <v>0</v>
      </c>
    </row>
    <row r="133" spans="1:13" x14ac:dyDescent="0.25">
      <c r="A133" s="1" t="s">
        <v>14</v>
      </c>
      <c r="B133" s="1" t="s">
        <v>104</v>
      </c>
      <c r="E133" s="1" t="s">
        <v>54</v>
      </c>
      <c r="F133" s="9">
        <f>SUM(F63,F64,F65,F66,F67,F68,F69,F70,F71,F72,F73,F74,F75,F76,F77,F78,F79,F80,F81,F82,F83,F84,F86,F87,F88,F89,F90,F91,F92,F93,F94,F95,F96,F97,F98,F102,F103,F104,F105,F106,F107,F108,F109,F110,F111,F112,F113,F114,F120,F129,F131,F132)</f>
        <v>1039.8579999999999</v>
      </c>
      <c r="G133" s="9">
        <f>SUM(G65,G67,G72,G73,G76,G77,G80,G82,G83,G84,G85,G86,G94,G96,G99,G100,G101,G107,G115,G116,G117,G118,G119,G121,G122,G123,G124,G125,G126,G127,G128,G129,G130,G132)</f>
        <v>179.34199999999998</v>
      </c>
      <c r="H133" s="9"/>
      <c r="I133" s="9"/>
      <c r="J133" s="9">
        <f>SUM(J63,J64,J65,J66,J67,J68,J69,J70,J71,J72,J73,J74,J75,J76,J77,J78,J79,J80,J81,J82,J83,J84,J86,J87,J88,J89,J90,J91,J92,J93,J94,J95,J96,J97,J98,J102,J103,J104,J105,J106,J107,J108,J109,J110,J111,J112,J113,J114,J120,J129,J131,J132)</f>
        <v>2647.7633898664039</v>
      </c>
      <c r="K133" s="9">
        <f>SUM(K65,K67,K72,K73,K76,K77,K80,K82,K83,K84,K85,K86,K94,K96,K99,K100,K101,K107,K115,K116,K117,K118,K119,K121,K122,K123,K124,K125,K126,K127,K128,K129,K130,K132)</f>
        <v>203.70059743276965</v>
      </c>
      <c r="L133" s="6"/>
      <c r="M133" s="5">
        <f>AVERAGE(K65,K67,K72,K73,K76,K77,K80,K82,K83,K84,K85,K86,K94,K96,K99,K100,K101,K107,K115,K116,K117,K118,K119,K121,K122,K123,K124,K125,K126,K127,K128,K129,K130,K132)</f>
        <v>5.9911940421402843</v>
      </c>
    </row>
    <row r="134" spans="1:13" x14ac:dyDescent="0.25">
      <c r="B134" s="5">
        <f>(34/52)*100</f>
        <v>65.384615384615387</v>
      </c>
      <c r="E134" s="6" t="s">
        <v>55</v>
      </c>
      <c r="F134" s="8">
        <f>G133/F133</f>
        <v>0.17246777925447512</v>
      </c>
      <c r="G134" s="8">
        <f>F134*100</f>
        <v>17.246777925447514</v>
      </c>
      <c r="H134" s="8"/>
      <c r="I134" s="8"/>
      <c r="J134" s="8">
        <f>K133/J133</f>
        <v>7.6933081789852684E-2</v>
      </c>
      <c r="K134" s="8">
        <f>J134*100</f>
        <v>7.6933081789852684</v>
      </c>
      <c r="L134" s="6"/>
      <c r="M134" s="5">
        <f>MEDIAN(K65,K67,K72,K73,K76,K77,K80,K82,K83,K84,K85,K86,K94,K96,K99,K100,K101,K107,K115,K116,K117,K118,K119,K121,K122,K123,K124,K125,K126,K127,K128,K129,K130,K132)</f>
        <v>3.4187082405345213</v>
      </c>
    </row>
    <row r="139" spans="1:13" x14ac:dyDescent="0.25">
      <c r="A139" s="1" t="s">
        <v>105</v>
      </c>
      <c r="C139" s="1" t="s">
        <v>108</v>
      </c>
      <c r="D139" s="1" t="s">
        <v>109</v>
      </c>
      <c r="E139" s="1" t="s">
        <v>110</v>
      </c>
      <c r="F139" s="1" t="s">
        <v>111</v>
      </c>
      <c r="G139" s="1" t="s">
        <v>112</v>
      </c>
      <c r="H139" s="6" t="s">
        <v>55</v>
      </c>
      <c r="I139" s="1" t="s">
        <v>113</v>
      </c>
      <c r="J139" s="1" t="s">
        <v>114</v>
      </c>
      <c r="K139" s="1" t="s">
        <v>115</v>
      </c>
    </row>
    <row r="140" spans="1:13" x14ac:dyDescent="0.25">
      <c r="B140" s="1" t="s">
        <v>106</v>
      </c>
      <c r="C140" s="1">
        <v>56</v>
      </c>
      <c r="D140" s="1">
        <v>9</v>
      </c>
      <c r="E140" s="1">
        <v>16.071428571428573</v>
      </c>
      <c r="F140" s="1">
        <v>3475.67581272289</v>
      </c>
      <c r="G140" s="1">
        <v>22.607364315442702</v>
      </c>
      <c r="H140" s="1">
        <v>6.5044513739420905E-3</v>
      </c>
      <c r="I140" s="1">
        <v>0.65044513739420906</v>
      </c>
      <c r="J140">
        <v>2.5119293683825208</v>
      </c>
      <c r="K140">
        <v>1.9552572706935125</v>
      </c>
    </row>
    <row r="141" spans="1:13" x14ac:dyDescent="0.25">
      <c r="B141" s="1" t="s">
        <v>107</v>
      </c>
      <c r="C141" s="1">
        <v>52</v>
      </c>
      <c r="D141" s="1">
        <v>34</v>
      </c>
      <c r="E141" s="1">
        <v>65.384615384615387</v>
      </c>
      <c r="F141" s="1">
        <v>2647.7633898664039</v>
      </c>
      <c r="G141" s="1">
        <v>203.70059743276965</v>
      </c>
      <c r="H141" s="1">
        <v>7.6933081789852684E-2</v>
      </c>
      <c r="I141" s="1">
        <v>7.6933081789852684</v>
      </c>
      <c r="J141">
        <v>5.9911940421402843</v>
      </c>
      <c r="K141">
        <v>3.4187082405345213</v>
      </c>
    </row>
    <row r="145" spans="2:11" x14ac:dyDescent="0.25">
      <c r="C145" s="1" t="s">
        <v>108</v>
      </c>
      <c r="D145" s="1" t="s">
        <v>109</v>
      </c>
      <c r="E145" s="1" t="s">
        <v>36</v>
      </c>
      <c r="F145" s="1" t="s">
        <v>113</v>
      </c>
      <c r="G145" s="1" t="s">
        <v>126</v>
      </c>
      <c r="H145" s="1" t="s">
        <v>127</v>
      </c>
      <c r="I145" s="1" t="s">
        <v>36</v>
      </c>
      <c r="J145" s="1" t="s">
        <v>113</v>
      </c>
      <c r="K145" s="1" t="s">
        <v>114</v>
      </c>
    </row>
    <row r="146" spans="2:11" x14ac:dyDescent="0.25">
      <c r="B146" s="1" t="s">
        <v>118</v>
      </c>
      <c r="C146" s="1">
        <v>14</v>
      </c>
      <c r="D146" s="1">
        <v>3</v>
      </c>
      <c r="E146" s="1">
        <f>D146/C146</f>
        <v>0.21428571428571427</v>
      </c>
      <c r="F146" s="1">
        <f>E146*100</f>
        <v>21.428571428571427</v>
      </c>
      <c r="G146" s="1">
        <f>SUM(J4:J17)</f>
        <v>761.60791684455273</v>
      </c>
      <c r="H146" s="1">
        <f>SUM(K4,K6,K12)</f>
        <v>7.3959743697020688</v>
      </c>
      <c r="I146" s="1">
        <f>H146/G146</f>
        <v>9.7109998545506417E-3</v>
      </c>
      <c r="J146">
        <f>I146*100</f>
        <v>0.97109998545506415</v>
      </c>
      <c r="K146" s="1">
        <f>AVERAGE(K4,K6,K12)</f>
        <v>2.4653247899006896</v>
      </c>
    </row>
    <row r="147" spans="2:11" x14ac:dyDescent="0.25">
      <c r="B147" s="1" t="s">
        <v>119</v>
      </c>
      <c r="C147" s="1">
        <v>12</v>
      </c>
      <c r="D147" s="1">
        <v>2</v>
      </c>
      <c r="E147" s="1">
        <f t="shared" ref="E147:E153" si="9">D147/C147</f>
        <v>0.16666666666666666</v>
      </c>
      <c r="F147" s="1">
        <f t="shared" ref="F147:F153" si="10">E147*100</f>
        <v>16.666666666666664</v>
      </c>
      <c r="G147" s="1">
        <f>SUM(J18:J29)</f>
        <v>1147.9281875971437</v>
      </c>
      <c r="H147" s="1">
        <f>SUM(K20,K26)</f>
        <v>8.9874530367512904</v>
      </c>
      <c r="I147" s="1">
        <f t="shared" ref="I147:I153" si="11">H147/G147</f>
        <v>7.8292815995431985E-3</v>
      </c>
      <c r="J147">
        <f t="shared" ref="J147:J153" si="12">I147*100</f>
        <v>0.78292815995431986</v>
      </c>
      <c r="K147" s="1">
        <f>AVERAGE(K20,K26)</f>
        <v>4.4937265183756452</v>
      </c>
    </row>
    <row r="148" spans="2:11" x14ac:dyDescent="0.25">
      <c r="B148" s="1" t="s">
        <v>120</v>
      </c>
      <c r="C148" s="1">
        <v>18</v>
      </c>
      <c r="D148" s="1">
        <v>3</v>
      </c>
      <c r="E148" s="1">
        <f t="shared" si="9"/>
        <v>0.16666666666666666</v>
      </c>
      <c r="F148" s="1">
        <f t="shared" si="10"/>
        <v>16.666666666666664</v>
      </c>
      <c r="G148" s="1">
        <f>SUM(J30:J47)</f>
        <v>800.30059600451318</v>
      </c>
      <c r="H148" s="1">
        <f>SUM(K38,K39,K42)</f>
        <v>2.4452077517112754</v>
      </c>
      <c r="I148" s="1">
        <f t="shared" si="11"/>
        <v>3.0553616527576421E-3</v>
      </c>
      <c r="J148">
        <f t="shared" si="12"/>
        <v>0.30553616527576422</v>
      </c>
      <c r="K148" s="1">
        <f>AVERAGE(K38,K39,K42)</f>
        <v>0.81506925057042512</v>
      </c>
    </row>
    <row r="149" spans="2:11" x14ac:dyDescent="0.25">
      <c r="B149" s="1" t="s">
        <v>121</v>
      </c>
      <c r="C149" s="1">
        <v>12</v>
      </c>
      <c r="D149" s="1">
        <v>1</v>
      </c>
      <c r="E149" s="1">
        <f t="shared" si="9"/>
        <v>8.3333333333333329E-2</v>
      </c>
      <c r="F149" s="1">
        <f t="shared" si="10"/>
        <v>8.3333333333333321</v>
      </c>
      <c r="G149" s="1">
        <f>SUM(J48:J59)</f>
        <v>765.83911227668011</v>
      </c>
      <c r="H149" s="1">
        <f>SUM(K57)</f>
        <v>3.7787291572780535</v>
      </c>
      <c r="I149" s="1">
        <f t="shared" si="11"/>
        <v>4.9341031251912415E-3</v>
      </c>
      <c r="J149">
        <f t="shared" si="12"/>
        <v>0.49341031251912415</v>
      </c>
      <c r="K149" s="1">
        <f>AVERAGE(K57)</f>
        <v>3.7787291572780535</v>
      </c>
    </row>
    <row r="150" spans="2:11" x14ac:dyDescent="0.25">
      <c r="B150" s="1" t="s">
        <v>122</v>
      </c>
      <c r="C150" s="1">
        <v>11</v>
      </c>
      <c r="D150" s="1">
        <v>4</v>
      </c>
      <c r="E150" s="1">
        <f t="shared" si="9"/>
        <v>0.36363636363636365</v>
      </c>
      <c r="F150" s="1">
        <f t="shared" si="10"/>
        <v>36.363636363636367</v>
      </c>
      <c r="G150" s="1">
        <f>SUM(J63:J73)</f>
        <v>445.03376004721423</v>
      </c>
      <c r="H150" s="1">
        <f>SUM(K65,K67,K72,K73)</f>
        <v>6.9421569975854682</v>
      </c>
      <c r="I150" s="1">
        <f t="shared" si="11"/>
        <v>1.5599169368294589E-2</v>
      </c>
      <c r="J150">
        <f t="shared" si="12"/>
        <v>1.559916936829459</v>
      </c>
      <c r="K150" s="1">
        <f>AVERAGE(K65,K67,K72,K73)</f>
        <v>1.7355392493963671</v>
      </c>
    </row>
    <row r="151" spans="2:11" x14ac:dyDescent="0.25">
      <c r="B151" s="1" t="s">
        <v>123</v>
      </c>
      <c r="C151" s="1">
        <v>8</v>
      </c>
      <c r="D151" s="1">
        <v>3</v>
      </c>
      <c r="E151" s="1">
        <f t="shared" si="9"/>
        <v>0.375</v>
      </c>
      <c r="F151" s="1">
        <f t="shared" si="10"/>
        <v>37.5</v>
      </c>
      <c r="G151" s="1">
        <f>SUM(J74:J81)</f>
        <v>778.98804715914275</v>
      </c>
      <c r="H151" s="1">
        <f>SUM(K76,K77,K80)</f>
        <v>12.244574440212023</v>
      </c>
      <c r="I151" s="1">
        <f t="shared" si="11"/>
        <v>1.5718565239692988E-2</v>
      </c>
      <c r="J151">
        <f t="shared" si="12"/>
        <v>1.5718565239692988</v>
      </c>
      <c r="K151" s="1">
        <f>AVERAGE(K76,K77,K80)</f>
        <v>4.0815248134040081</v>
      </c>
    </row>
    <row r="152" spans="2:11" x14ac:dyDescent="0.25">
      <c r="B152" s="1" t="s">
        <v>124</v>
      </c>
      <c r="C152" s="1">
        <v>9</v>
      </c>
      <c r="D152" s="1">
        <v>5</v>
      </c>
      <c r="E152" s="1">
        <f t="shared" si="9"/>
        <v>0.55555555555555558</v>
      </c>
      <c r="F152" s="1">
        <f t="shared" si="10"/>
        <v>55.555555555555557</v>
      </c>
      <c r="G152" s="1">
        <f>SUM(J82,J83,J84,J86,J87,J88,J89,J90,J91)</f>
        <v>387.28798135936506</v>
      </c>
      <c r="H152" s="1">
        <f>SUM(K82,K83,K84,K85,K86)</f>
        <v>3.6761018691861507</v>
      </c>
      <c r="I152" s="1">
        <f t="shared" si="11"/>
        <v>9.491907949952855E-3</v>
      </c>
      <c r="J152">
        <f t="shared" si="12"/>
        <v>0.94919079499528547</v>
      </c>
      <c r="K152" s="1">
        <f>AVERAGE(K82,K83,K84,K85,K86)</f>
        <v>0.73522037383723016</v>
      </c>
    </row>
    <row r="153" spans="2:11" x14ac:dyDescent="0.25">
      <c r="B153" s="1" t="s">
        <v>125</v>
      </c>
      <c r="C153" s="1">
        <v>24</v>
      </c>
      <c r="D153" s="1">
        <v>22</v>
      </c>
      <c r="E153" s="1">
        <f t="shared" si="9"/>
        <v>0.91666666666666663</v>
      </c>
      <c r="F153" s="1">
        <f t="shared" si="10"/>
        <v>91.666666666666657</v>
      </c>
      <c r="G153" s="1">
        <f>SUM(J92,J93,J94,J95,J96,J97,J98,J102,J103,J104,J105,J106,J107,J108,J109,J110,J111,J112,J113,J114,J120,J129,J131,J132)</f>
        <v>1036.453601300683</v>
      </c>
      <c r="H153" s="1">
        <f>SUM(K94,K96,K99,K100,K101,K107,K115,K116,K117,K118,K119,K121,K122,K123,K124,K125,K126,K127,K128,K129,K130,K132)</f>
        <v>180.83776412578601</v>
      </c>
      <c r="I153" s="1">
        <f t="shared" si="11"/>
        <v>0.17447743333502452</v>
      </c>
      <c r="J153">
        <f t="shared" si="12"/>
        <v>17.447743333502451</v>
      </c>
      <c r="K153" s="1">
        <f>AVERAGE(K94,K96,K99,K100,K101,K107,K115,K116,K117,K118,K119,K121,K122,K123,K124,K125,K126,K127,K128,K129,K130,K132)</f>
        <v>8.2198983693539098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workbookViewId="0">
      <selection activeCell="B18" sqref="B18"/>
    </sheetView>
  </sheetViews>
  <sheetFormatPr defaultRowHeight="15" x14ac:dyDescent="0.25"/>
  <cols>
    <col min="2" max="2" width="53.42578125" bestFit="1" customWidth="1"/>
    <col min="3" max="3" width="11" bestFit="1" customWidth="1"/>
    <col min="4" max="4" width="12" bestFit="1" customWidth="1"/>
    <col min="5" max="5" width="14.7109375" bestFit="1" customWidth="1"/>
    <col min="6" max="6" width="43.7109375" bestFit="1" customWidth="1"/>
    <col min="7" max="7" width="27.140625" bestFit="1" customWidth="1"/>
    <col min="8" max="8" width="26.5703125" bestFit="1" customWidth="1"/>
    <col min="9" max="9" width="51.42578125" bestFit="1" customWidth="1"/>
    <col min="10" max="10" width="12" bestFit="1" customWidth="1"/>
  </cols>
  <sheetData>
    <row r="2" spans="2:12" x14ac:dyDescent="0.25">
      <c r="B2" s="3" t="s">
        <v>105</v>
      </c>
      <c r="C2" s="1"/>
      <c r="D2" s="1"/>
      <c r="E2" s="1"/>
      <c r="F2" s="1"/>
      <c r="G2" s="1"/>
      <c r="H2" s="1"/>
      <c r="I2" s="6"/>
      <c r="J2" s="1"/>
      <c r="K2" s="1"/>
      <c r="L2" s="1"/>
    </row>
    <row r="3" spans="2:12" x14ac:dyDescent="0.25">
      <c r="B3" s="1"/>
      <c r="C3" s="1"/>
      <c r="D3" s="1"/>
      <c r="E3" s="1"/>
      <c r="F3" s="1"/>
      <c r="G3" s="1"/>
      <c r="H3" s="1"/>
      <c r="I3" s="1"/>
      <c r="J3" s="1"/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</row>
    <row r="5" spans="2:12" x14ac:dyDescent="0.25">
      <c r="B5" s="1"/>
      <c r="C5" s="1"/>
      <c r="D5" s="1"/>
    </row>
    <row r="6" spans="2:12" x14ac:dyDescent="0.25">
      <c r="B6" s="1"/>
      <c r="C6" s="1"/>
      <c r="D6" s="1"/>
    </row>
    <row r="7" spans="2:12" x14ac:dyDescent="0.25">
      <c r="B7" s="1"/>
      <c r="C7" s="12" t="s">
        <v>106</v>
      </c>
      <c r="D7" s="12" t="s">
        <v>107</v>
      </c>
    </row>
    <row r="8" spans="2:12" x14ac:dyDescent="0.25">
      <c r="B8" s="14" t="s">
        <v>108</v>
      </c>
      <c r="C8" s="13">
        <v>56</v>
      </c>
      <c r="D8" s="13">
        <v>52</v>
      </c>
    </row>
    <row r="9" spans="2:12" x14ac:dyDescent="0.25">
      <c r="B9" s="14" t="s">
        <v>109</v>
      </c>
      <c r="C9" s="13">
        <v>9</v>
      </c>
      <c r="D9" s="13">
        <v>34</v>
      </c>
    </row>
    <row r="10" spans="2:12" x14ac:dyDescent="0.25">
      <c r="B10" s="14" t="s">
        <v>110</v>
      </c>
      <c r="C10" s="13">
        <v>16.071428571428573</v>
      </c>
      <c r="D10" s="13">
        <v>65.384615384615387</v>
      </c>
    </row>
    <row r="11" spans="2:12" x14ac:dyDescent="0.25">
      <c r="B11" s="14" t="s">
        <v>111</v>
      </c>
      <c r="C11" s="13">
        <v>3475.6758127228891</v>
      </c>
      <c r="D11" s="13">
        <v>2647.7633898664039</v>
      </c>
    </row>
    <row r="12" spans="2:12" x14ac:dyDescent="0.25">
      <c r="B12" s="14" t="s">
        <v>112</v>
      </c>
      <c r="C12" s="13">
        <v>22.607364315442688</v>
      </c>
      <c r="D12" s="13">
        <v>203.70059743276965</v>
      </c>
    </row>
    <row r="13" spans="2:12" x14ac:dyDescent="0.25">
      <c r="B13" s="14" t="s">
        <v>55</v>
      </c>
      <c r="C13" s="13">
        <v>6.5044513739420905E-3</v>
      </c>
      <c r="D13" s="13">
        <v>7.6933081789852684E-2</v>
      </c>
    </row>
    <row r="14" spans="2:12" x14ac:dyDescent="0.25">
      <c r="B14" s="14" t="s">
        <v>117</v>
      </c>
      <c r="C14" s="13">
        <v>0.65044513739420906</v>
      </c>
      <c r="D14" s="13">
        <v>7.6933081789852684</v>
      </c>
    </row>
    <row r="15" spans="2:12" x14ac:dyDescent="0.25">
      <c r="B15" s="14" t="s">
        <v>114</v>
      </c>
      <c r="C15" s="13">
        <v>2.5119293683825208</v>
      </c>
      <c r="D15" s="13">
        <v>5.9911940421402843</v>
      </c>
    </row>
    <row r="16" spans="2:12" x14ac:dyDescent="0.25">
      <c r="B16" s="14" t="s">
        <v>116</v>
      </c>
      <c r="C16" s="13">
        <v>1.9552572706935125</v>
      </c>
      <c r="D16" s="13">
        <v>3.4187082405345213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Endothelial cells</vt:lpstr>
      <vt:lpstr>Summary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GOMEZ GIRO</dc:creator>
  <cp:lastModifiedBy>Gemma GOMEZ GIRO</cp:lastModifiedBy>
  <dcterms:created xsi:type="dcterms:W3CDTF">2018-05-08T08:19:50Z</dcterms:created>
  <dcterms:modified xsi:type="dcterms:W3CDTF">2019-02-27T14:45:29Z</dcterms:modified>
</cp:coreProperties>
</file>