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istrator/Documents/PAPERS_DRAFT/hippo_micro_AD/Manuscript/"/>
    </mc:Choice>
  </mc:AlternateContent>
  <xr:revisionPtr revIDLastSave="0" documentId="13_ncr:1_{39863449-78E9-A743-9C49-8F967D81E864}" xr6:coauthVersionLast="47" xr6:coauthVersionMax="47" xr10:uidLastSave="{00000000-0000-0000-0000-000000000000}"/>
  <bookViews>
    <workbookView xWindow="4240" yWindow="3160" windowWidth="27640" windowHeight="16540" xr2:uid="{797FC92F-C7C8-F547-A27A-583D00E1416E}"/>
  </bookViews>
  <sheets>
    <sheet name="Amyloid_4G8_488" sheetId="1" r:id="rId1"/>
    <sheet name="Psyn_M_488" sheetId="3" r:id="rId2"/>
    <sheet name="Tau_AT8_647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3" i="3" l="1"/>
  <c r="X23" i="3" s="1"/>
  <c r="Z23" i="3" s="1"/>
  <c r="N23" i="3"/>
  <c r="O23" i="3" s="1"/>
  <c r="Q23" i="3" s="1"/>
  <c r="E23" i="3"/>
  <c r="F23" i="3" s="1"/>
  <c r="H23" i="3" s="1"/>
  <c r="W23" i="1"/>
  <c r="X23" i="1" s="1"/>
  <c r="Z23" i="1" s="1"/>
  <c r="N23" i="1"/>
  <c r="O23" i="1" s="1"/>
  <c r="Q23" i="1" s="1"/>
  <c r="E23" i="1"/>
  <c r="F23" i="1" s="1"/>
  <c r="H23" i="1" s="1"/>
  <c r="W23" i="2"/>
  <c r="X23" i="2" s="1"/>
  <c r="Z23" i="2" s="1"/>
  <c r="N23" i="2"/>
  <c r="O23" i="2" s="1"/>
  <c r="Q23" i="2" s="1"/>
  <c r="E23" i="2"/>
  <c r="F23" i="2" s="1"/>
  <c r="H23" i="2" s="1"/>
  <c r="E4" i="1"/>
  <c r="W5" i="1"/>
  <c r="E7" i="2"/>
  <c r="W30" i="2"/>
  <c r="W29" i="2"/>
  <c r="N30" i="2"/>
  <c r="N29" i="2"/>
  <c r="E9" i="2"/>
  <c r="W10" i="2" l="1"/>
  <c r="W11" i="2"/>
  <c r="X11" i="2" s="1"/>
  <c r="Z11" i="2" s="1"/>
  <c r="N10" i="2"/>
  <c r="O10" i="2" s="1"/>
  <c r="Q10" i="2" s="1"/>
  <c r="W6" i="2"/>
  <c r="X6" i="2" s="1"/>
  <c r="Z6" i="2" s="1"/>
  <c r="W4" i="2"/>
  <c r="X4" i="2" s="1"/>
  <c r="Z4" i="2" s="1"/>
  <c r="N4" i="2"/>
  <c r="N6" i="2"/>
  <c r="W5" i="2"/>
  <c r="N5" i="2"/>
  <c r="O5" i="2" s="1"/>
  <c r="Q5" i="2" s="1"/>
  <c r="X30" i="2"/>
  <c r="Z30" i="2" s="1"/>
  <c r="O30" i="2"/>
  <c r="Q30" i="2" s="1"/>
  <c r="X29" i="2"/>
  <c r="Z29" i="2" s="1"/>
  <c r="O29" i="2"/>
  <c r="Q29" i="2" s="1"/>
  <c r="W28" i="2"/>
  <c r="X28" i="2" s="1"/>
  <c r="Z28" i="2" s="1"/>
  <c r="N28" i="2"/>
  <c r="O28" i="2" s="1"/>
  <c r="Q28" i="2" s="1"/>
  <c r="W27" i="2"/>
  <c r="X27" i="2" s="1"/>
  <c r="Z27" i="2" s="1"/>
  <c r="N27" i="2"/>
  <c r="O27" i="2" s="1"/>
  <c r="Q27" i="2" s="1"/>
  <c r="W26" i="2"/>
  <c r="X26" i="2" s="1"/>
  <c r="Z26" i="2" s="1"/>
  <c r="N26" i="2"/>
  <c r="O26" i="2" s="1"/>
  <c r="Q26" i="2" s="1"/>
  <c r="W25" i="2"/>
  <c r="X25" i="2" s="1"/>
  <c r="Z25" i="2" s="1"/>
  <c r="N25" i="2"/>
  <c r="O25" i="2" s="1"/>
  <c r="Q25" i="2" s="1"/>
  <c r="W24" i="2"/>
  <c r="X24" i="2" s="1"/>
  <c r="Z24" i="2" s="1"/>
  <c r="N24" i="2"/>
  <c r="O24" i="2" s="1"/>
  <c r="Q24" i="2" s="1"/>
  <c r="W22" i="2"/>
  <c r="X22" i="2" s="1"/>
  <c r="Z22" i="2" s="1"/>
  <c r="N22" i="2"/>
  <c r="O22" i="2" s="1"/>
  <c r="Q22" i="2" s="1"/>
  <c r="W21" i="2"/>
  <c r="X21" i="2" s="1"/>
  <c r="Z21" i="2" s="1"/>
  <c r="N21" i="2"/>
  <c r="O21" i="2" s="1"/>
  <c r="Q21" i="2" s="1"/>
  <c r="W20" i="2"/>
  <c r="X20" i="2" s="1"/>
  <c r="Z20" i="2" s="1"/>
  <c r="N20" i="2"/>
  <c r="O20" i="2" s="1"/>
  <c r="Q20" i="2" s="1"/>
  <c r="W19" i="2"/>
  <c r="X19" i="2" s="1"/>
  <c r="Z19" i="2" s="1"/>
  <c r="N19" i="2"/>
  <c r="O19" i="2" s="1"/>
  <c r="Q19" i="2" s="1"/>
  <c r="W18" i="2"/>
  <c r="X18" i="2" s="1"/>
  <c r="Z18" i="2" s="1"/>
  <c r="N18" i="2"/>
  <c r="O18" i="2" s="1"/>
  <c r="Q18" i="2" s="1"/>
  <c r="W17" i="2"/>
  <c r="X17" i="2" s="1"/>
  <c r="Z17" i="2" s="1"/>
  <c r="N17" i="2"/>
  <c r="O17" i="2" s="1"/>
  <c r="Q17" i="2" s="1"/>
  <c r="W16" i="2"/>
  <c r="X16" i="2" s="1"/>
  <c r="Z16" i="2" s="1"/>
  <c r="N16" i="2"/>
  <c r="O16" i="2" s="1"/>
  <c r="Q16" i="2" s="1"/>
  <c r="W15" i="2"/>
  <c r="X15" i="2" s="1"/>
  <c r="Z15" i="2" s="1"/>
  <c r="N15" i="2"/>
  <c r="O15" i="2" s="1"/>
  <c r="Q15" i="2" s="1"/>
  <c r="W14" i="2"/>
  <c r="X14" i="2" s="1"/>
  <c r="Z14" i="2" s="1"/>
  <c r="N14" i="2"/>
  <c r="O14" i="2" s="1"/>
  <c r="Q14" i="2" s="1"/>
  <c r="W13" i="2"/>
  <c r="X13" i="2" s="1"/>
  <c r="Z13" i="2" s="1"/>
  <c r="N13" i="2"/>
  <c r="O13" i="2" s="1"/>
  <c r="Q13" i="2" s="1"/>
  <c r="W12" i="2"/>
  <c r="X12" i="2" s="1"/>
  <c r="Z12" i="2" s="1"/>
  <c r="N12" i="2"/>
  <c r="O12" i="2" s="1"/>
  <c r="Q12" i="2" s="1"/>
  <c r="N11" i="2"/>
  <c r="O11" i="2" s="1"/>
  <c r="Q11" i="2" s="1"/>
  <c r="X10" i="2"/>
  <c r="Z10" i="2" s="1"/>
  <c r="W9" i="2"/>
  <c r="X9" i="2" s="1"/>
  <c r="Z9" i="2" s="1"/>
  <c r="N9" i="2"/>
  <c r="O9" i="2" s="1"/>
  <c r="Q9" i="2" s="1"/>
  <c r="W8" i="2"/>
  <c r="X8" i="2" s="1"/>
  <c r="Z8" i="2" s="1"/>
  <c r="N8" i="2"/>
  <c r="O8" i="2" s="1"/>
  <c r="Q8" i="2" s="1"/>
  <c r="W7" i="2"/>
  <c r="X7" i="2" s="1"/>
  <c r="Z7" i="2" s="1"/>
  <c r="N7" i="2"/>
  <c r="O7" i="2" s="1"/>
  <c r="Q7" i="2" s="1"/>
  <c r="O6" i="2"/>
  <c r="Q6" i="2" s="1"/>
  <c r="X5" i="2"/>
  <c r="Z5" i="2" s="1"/>
  <c r="O4" i="2"/>
  <c r="Q4" i="2" s="1"/>
  <c r="W3" i="2"/>
  <c r="X3" i="2" s="1"/>
  <c r="Z3" i="2" s="1"/>
  <c r="N3" i="2"/>
  <c r="O3" i="2" s="1"/>
  <c r="Q3" i="2" s="1"/>
  <c r="W2" i="2"/>
  <c r="X2" i="2" s="1"/>
  <c r="Z2" i="2" s="1"/>
  <c r="N2" i="2"/>
  <c r="O2" i="2" s="1"/>
  <c r="Q2" i="2" s="1"/>
  <c r="E24" i="1"/>
  <c r="F24" i="1" s="1"/>
  <c r="H24" i="1" s="1"/>
  <c r="E30" i="1"/>
  <c r="F30" i="1" s="1"/>
  <c r="W16" i="3"/>
  <c r="X16" i="3" s="1"/>
  <c r="Z16" i="3" s="1"/>
  <c r="N16" i="3"/>
  <c r="O16" i="3" s="1"/>
  <c r="Q16" i="3" s="1"/>
  <c r="E16" i="3"/>
  <c r="F16" i="3" s="1"/>
  <c r="H16" i="3" s="1"/>
  <c r="W22" i="3"/>
  <c r="X22" i="3" s="1"/>
  <c r="Z22" i="3" s="1"/>
  <c r="N22" i="3"/>
  <c r="O22" i="3" s="1"/>
  <c r="Q22" i="3" s="1"/>
  <c r="E22" i="3"/>
  <c r="F22" i="3" s="1"/>
  <c r="H22" i="3" s="1"/>
  <c r="W21" i="3"/>
  <c r="X21" i="3" s="1"/>
  <c r="Z21" i="3" s="1"/>
  <c r="N21" i="3"/>
  <c r="O21" i="3" s="1"/>
  <c r="Q21" i="3" s="1"/>
  <c r="E21" i="3"/>
  <c r="W20" i="3"/>
  <c r="X20" i="3" s="1"/>
  <c r="Z20" i="3" s="1"/>
  <c r="N20" i="3"/>
  <c r="O20" i="3" s="1"/>
  <c r="Q20" i="3" s="1"/>
  <c r="E20" i="3"/>
  <c r="F20" i="3" s="1"/>
  <c r="H20" i="3" s="1"/>
  <c r="W19" i="3"/>
  <c r="X19" i="3" s="1"/>
  <c r="Z19" i="3" s="1"/>
  <c r="N19" i="3"/>
  <c r="O19" i="3" s="1"/>
  <c r="Q19" i="3" s="1"/>
  <c r="E19" i="3"/>
  <c r="F19" i="3" s="1"/>
  <c r="H19" i="3" s="1"/>
  <c r="W18" i="3"/>
  <c r="X18" i="3" s="1"/>
  <c r="Z18" i="3" s="1"/>
  <c r="N18" i="3"/>
  <c r="O18" i="3" s="1"/>
  <c r="Q18" i="3" s="1"/>
  <c r="E18" i="3"/>
  <c r="F18" i="3" s="1"/>
  <c r="H18" i="3" s="1"/>
  <c r="W17" i="3"/>
  <c r="N17" i="3"/>
  <c r="O17" i="3" s="1"/>
  <c r="Q17" i="3" s="1"/>
  <c r="E17" i="3"/>
  <c r="F17" i="3" s="1"/>
  <c r="H17" i="3" s="1"/>
  <c r="W15" i="3"/>
  <c r="X15" i="3" s="1"/>
  <c r="Z15" i="3" s="1"/>
  <c r="N15" i="3"/>
  <c r="O15" i="3" s="1"/>
  <c r="Q15" i="3" s="1"/>
  <c r="E15" i="3"/>
  <c r="F15" i="3" s="1"/>
  <c r="H15" i="3" s="1"/>
  <c r="W14" i="3"/>
  <c r="X14" i="3" s="1"/>
  <c r="Z14" i="3" s="1"/>
  <c r="N14" i="3"/>
  <c r="E14" i="3"/>
  <c r="F14" i="3" s="1"/>
  <c r="H14" i="3" s="1"/>
  <c r="W13" i="3"/>
  <c r="X13" i="3" s="1"/>
  <c r="Z13" i="3" s="1"/>
  <c r="N13" i="3"/>
  <c r="E13" i="3"/>
  <c r="F13" i="3" s="1"/>
  <c r="H13" i="3" s="1"/>
  <c r="W12" i="3"/>
  <c r="X12" i="3" s="1"/>
  <c r="Z12" i="3" s="1"/>
  <c r="N12" i="3"/>
  <c r="O12" i="3" s="1"/>
  <c r="Q12" i="3" s="1"/>
  <c r="E12" i="3"/>
  <c r="F12" i="3" s="1"/>
  <c r="H12" i="3" s="1"/>
  <c r="W30" i="3"/>
  <c r="X30" i="3" s="1"/>
  <c r="Z30" i="3" s="1"/>
  <c r="N30" i="3"/>
  <c r="O30" i="3" s="1"/>
  <c r="Q30" i="3" s="1"/>
  <c r="E30" i="3"/>
  <c r="F30" i="3" s="1"/>
  <c r="H30" i="3" s="1"/>
  <c r="W29" i="3"/>
  <c r="X29" i="3" s="1"/>
  <c r="Z29" i="3" s="1"/>
  <c r="N29" i="3"/>
  <c r="O29" i="3" s="1"/>
  <c r="Q29" i="3" s="1"/>
  <c r="E29" i="3"/>
  <c r="W28" i="3"/>
  <c r="X28" i="3" s="1"/>
  <c r="Z28" i="3" s="1"/>
  <c r="N28" i="3"/>
  <c r="O28" i="3" s="1"/>
  <c r="Q28" i="3" s="1"/>
  <c r="E28" i="3"/>
  <c r="F28" i="3" s="1"/>
  <c r="H28" i="3" s="1"/>
  <c r="W27" i="3"/>
  <c r="X27" i="3" s="1"/>
  <c r="Z27" i="3" s="1"/>
  <c r="N27" i="3"/>
  <c r="O27" i="3" s="1"/>
  <c r="Q27" i="3" s="1"/>
  <c r="E27" i="3"/>
  <c r="F27" i="3" s="1"/>
  <c r="H27" i="3" s="1"/>
  <c r="W26" i="3"/>
  <c r="X26" i="3" s="1"/>
  <c r="Z26" i="3" s="1"/>
  <c r="N26" i="3"/>
  <c r="O26" i="3" s="1"/>
  <c r="Q26" i="3" s="1"/>
  <c r="E26" i="3"/>
  <c r="F26" i="3" s="1"/>
  <c r="H26" i="3" s="1"/>
  <c r="W25" i="3"/>
  <c r="X25" i="3" s="1"/>
  <c r="Z25" i="3" s="1"/>
  <c r="N25" i="3"/>
  <c r="O25" i="3" s="1"/>
  <c r="Q25" i="3" s="1"/>
  <c r="E25" i="3"/>
  <c r="F25" i="3" s="1"/>
  <c r="H25" i="3" s="1"/>
  <c r="W24" i="3"/>
  <c r="X24" i="3" s="1"/>
  <c r="Z24" i="3" s="1"/>
  <c r="N24" i="3"/>
  <c r="E24" i="3"/>
  <c r="F24" i="3" s="1"/>
  <c r="H24" i="3" s="1"/>
  <c r="W11" i="3"/>
  <c r="N11" i="3"/>
  <c r="E11" i="3"/>
  <c r="F11" i="3" s="1"/>
  <c r="H11" i="3" s="1"/>
  <c r="W10" i="3"/>
  <c r="X10" i="3" s="1"/>
  <c r="Z10" i="3" s="1"/>
  <c r="N10" i="3"/>
  <c r="E10" i="3"/>
  <c r="F10" i="3" s="1"/>
  <c r="H10" i="3" s="1"/>
  <c r="W9" i="3"/>
  <c r="X9" i="3" s="1"/>
  <c r="Z9" i="3" s="1"/>
  <c r="N9" i="3"/>
  <c r="O9" i="3" s="1"/>
  <c r="Q9" i="3" s="1"/>
  <c r="E9" i="3"/>
  <c r="F9" i="3" s="1"/>
  <c r="H9" i="3" s="1"/>
  <c r="W8" i="3"/>
  <c r="X8" i="3" s="1"/>
  <c r="Z8" i="3" s="1"/>
  <c r="N8" i="3"/>
  <c r="O8" i="3" s="1"/>
  <c r="Q8" i="3" s="1"/>
  <c r="N5" i="3"/>
  <c r="O5" i="3" s="1"/>
  <c r="Q5" i="3" s="1"/>
  <c r="E8" i="3"/>
  <c r="F8" i="3" s="1"/>
  <c r="H8" i="3" s="1"/>
  <c r="W7" i="3"/>
  <c r="X7" i="3" s="1"/>
  <c r="Z7" i="3" s="1"/>
  <c r="N7" i="3"/>
  <c r="O7" i="3" s="1"/>
  <c r="Q7" i="3" s="1"/>
  <c r="E7" i="3"/>
  <c r="F7" i="3" s="1"/>
  <c r="H7" i="3" s="1"/>
  <c r="W6" i="3"/>
  <c r="X6" i="3" s="1"/>
  <c r="Z6" i="3" s="1"/>
  <c r="W5" i="3"/>
  <c r="X5" i="3" s="1"/>
  <c r="Z5" i="3" s="1"/>
  <c r="N6" i="3"/>
  <c r="O6" i="3" s="1"/>
  <c r="Q6" i="3" s="1"/>
  <c r="E6" i="3"/>
  <c r="F6" i="3" s="1"/>
  <c r="H6" i="3" s="1"/>
  <c r="E5" i="3"/>
  <c r="F5" i="3" s="1"/>
  <c r="H5" i="3" s="1"/>
  <c r="W4" i="3"/>
  <c r="X4" i="3" s="1"/>
  <c r="Z4" i="3" s="1"/>
  <c r="N4" i="3"/>
  <c r="O4" i="3" s="1"/>
  <c r="Q4" i="3" s="1"/>
  <c r="E4" i="3"/>
  <c r="F4" i="3" s="1"/>
  <c r="H4" i="3" s="1"/>
  <c r="W3" i="3"/>
  <c r="X3" i="3" s="1"/>
  <c r="Z3" i="3" s="1"/>
  <c r="N3" i="3"/>
  <c r="O3" i="3" s="1"/>
  <c r="Q3" i="3" s="1"/>
  <c r="E3" i="3"/>
  <c r="F3" i="3" s="1"/>
  <c r="H3" i="3" s="1"/>
  <c r="W2" i="3"/>
  <c r="X2" i="3" s="1"/>
  <c r="Z2" i="3" s="1"/>
  <c r="N2" i="3"/>
  <c r="O2" i="3" s="1"/>
  <c r="Q2" i="3" s="1"/>
  <c r="E2" i="3"/>
  <c r="F2" i="3" s="1"/>
  <c r="H2" i="3" s="1"/>
  <c r="X17" i="3"/>
  <c r="Z17" i="3" s="1"/>
  <c r="X11" i="3"/>
  <c r="Z11" i="3" s="1"/>
  <c r="O10" i="3"/>
  <c r="Q10" i="3" s="1"/>
  <c r="O11" i="3"/>
  <c r="Q11" i="3" s="1"/>
  <c r="O13" i="3"/>
  <c r="Q13" i="3" s="1"/>
  <c r="O14" i="3"/>
  <c r="Q14" i="3" s="1"/>
  <c r="O24" i="3"/>
  <c r="Q24" i="3" s="1"/>
  <c r="F29" i="3"/>
  <c r="H29" i="3" s="1"/>
  <c r="F21" i="3"/>
  <c r="H21" i="3" s="1"/>
  <c r="E30" i="2"/>
  <c r="F30" i="2" s="1"/>
  <c r="H30" i="2" s="1"/>
  <c r="E29" i="2"/>
  <c r="F29" i="2" s="1"/>
  <c r="H29" i="2" s="1"/>
  <c r="E28" i="2"/>
  <c r="F28" i="2" s="1"/>
  <c r="H28" i="2" s="1"/>
  <c r="E27" i="2"/>
  <c r="F27" i="2" s="1"/>
  <c r="H27" i="2" s="1"/>
  <c r="E26" i="2"/>
  <c r="F26" i="2" s="1"/>
  <c r="H26" i="2" s="1"/>
  <c r="E25" i="2"/>
  <c r="F25" i="2" s="1"/>
  <c r="H25" i="2" s="1"/>
  <c r="E24" i="2"/>
  <c r="F24" i="2" s="1"/>
  <c r="H24" i="2" s="1"/>
  <c r="E22" i="2"/>
  <c r="F22" i="2" s="1"/>
  <c r="H22" i="2" s="1"/>
  <c r="E21" i="2"/>
  <c r="F21" i="2" s="1"/>
  <c r="H21" i="2" s="1"/>
  <c r="E20" i="2"/>
  <c r="F20" i="2" s="1"/>
  <c r="H20" i="2" s="1"/>
  <c r="E19" i="2"/>
  <c r="F19" i="2" s="1"/>
  <c r="H19" i="2" s="1"/>
  <c r="E18" i="2"/>
  <c r="F18" i="2" s="1"/>
  <c r="H18" i="2" s="1"/>
  <c r="E17" i="2"/>
  <c r="F17" i="2" s="1"/>
  <c r="H17" i="2" s="1"/>
  <c r="E16" i="2"/>
  <c r="F16" i="2" s="1"/>
  <c r="H16" i="2" s="1"/>
  <c r="E15" i="2"/>
  <c r="F15" i="2" s="1"/>
  <c r="H15" i="2" s="1"/>
  <c r="E14" i="2"/>
  <c r="F14" i="2" s="1"/>
  <c r="H14" i="2" s="1"/>
  <c r="E13" i="2"/>
  <c r="F13" i="2" s="1"/>
  <c r="H13" i="2" s="1"/>
  <c r="E12" i="2"/>
  <c r="F12" i="2" s="1"/>
  <c r="H12" i="2" s="1"/>
  <c r="E11" i="2"/>
  <c r="F11" i="2" s="1"/>
  <c r="H11" i="2" s="1"/>
  <c r="E10" i="2"/>
  <c r="F10" i="2" s="1"/>
  <c r="H10" i="2" s="1"/>
  <c r="F9" i="2"/>
  <c r="H9" i="2" s="1"/>
  <c r="E8" i="2"/>
  <c r="F8" i="2" s="1"/>
  <c r="H8" i="2" s="1"/>
  <c r="F7" i="2"/>
  <c r="H7" i="2" s="1"/>
  <c r="E6" i="2"/>
  <c r="F6" i="2" s="1"/>
  <c r="H6" i="2" s="1"/>
  <c r="E5" i="2"/>
  <c r="F5" i="2" s="1"/>
  <c r="H5" i="2" s="1"/>
  <c r="E4" i="2"/>
  <c r="F4" i="2" s="1"/>
  <c r="H4" i="2" s="1"/>
  <c r="E3" i="2"/>
  <c r="F3" i="2" s="1"/>
  <c r="H3" i="2" s="1"/>
  <c r="E2" i="2"/>
  <c r="F2" i="2" s="1"/>
  <c r="H2" i="2" s="1"/>
  <c r="O32" i="1"/>
  <c r="W30" i="1"/>
  <c r="X30" i="1" s="1"/>
  <c r="Z30" i="1" s="1"/>
  <c r="N30" i="1"/>
  <c r="O30" i="1" s="1"/>
  <c r="Q30" i="1" s="1"/>
  <c r="W29" i="1"/>
  <c r="X29" i="1" s="1"/>
  <c r="Z29" i="1" s="1"/>
  <c r="N29" i="1"/>
  <c r="O29" i="1" s="1"/>
  <c r="Q29" i="1" s="1"/>
  <c r="W28" i="1"/>
  <c r="X28" i="1" s="1"/>
  <c r="Z28" i="1" s="1"/>
  <c r="N28" i="1"/>
  <c r="O28" i="1" s="1"/>
  <c r="Q28" i="1" s="1"/>
  <c r="W27" i="1"/>
  <c r="X27" i="1" s="1"/>
  <c r="Z27" i="1" s="1"/>
  <c r="N27" i="1"/>
  <c r="O27" i="1" s="1"/>
  <c r="Q27" i="1" s="1"/>
  <c r="W26" i="1"/>
  <c r="N26" i="1"/>
  <c r="O26" i="1" s="1"/>
  <c r="Q26" i="1" s="1"/>
  <c r="W25" i="1"/>
  <c r="X25" i="1" s="1"/>
  <c r="Z25" i="1" s="1"/>
  <c r="N25" i="1"/>
  <c r="O25" i="1" s="1"/>
  <c r="Q25" i="1" s="1"/>
  <c r="W24" i="1"/>
  <c r="X24" i="1" s="1"/>
  <c r="Z24" i="1" s="1"/>
  <c r="N24" i="1"/>
  <c r="O24" i="1" s="1"/>
  <c r="Q24" i="1" s="1"/>
  <c r="E29" i="1"/>
  <c r="F29" i="1" s="1"/>
  <c r="H29" i="1" s="1"/>
  <c r="E28" i="1"/>
  <c r="F28" i="1" s="1"/>
  <c r="H28" i="1" s="1"/>
  <c r="E27" i="1"/>
  <c r="F27" i="1" s="1"/>
  <c r="H27" i="1" s="1"/>
  <c r="E26" i="1"/>
  <c r="F26" i="1" s="1"/>
  <c r="H26" i="1" s="1"/>
  <c r="E25" i="1"/>
  <c r="F25" i="1" s="1"/>
  <c r="H25" i="1" s="1"/>
  <c r="E22" i="1"/>
  <c r="F22" i="1" s="1"/>
  <c r="H22" i="1" s="1"/>
  <c r="E21" i="1"/>
  <c r="F21" i="1" s="1"/>
  <c r="H21" i="1" s="1"/>
  <c r="E20" i="1"/>
  <c r="F20" i="1" s="1"/>
  <c r="H20" i="1" s="1"/>
  <c r="E19" i="1"/>
  <c r="F19" i="1" s="1"/>
  <c r="H19" i="1" s="1"/>
  <c r="E18" i="1"/>
  <c r="F18" i="1" s="1"/>
  <c r="H18" i="1" s="1"/>
  <c r="E17" i="1"/>
  <c r="F17" i="1" s="1"/>
  <c r="H17" i="1" s="1"/>
  <c r="E16" i="1"/>
  <c r="F16" i="1" s="1"/>
  <c r="H16" i="1" s="1"/>
  <c r="E15" i="1"/>
  <c r="F15" i="1" s="1"/>
  <c r="H15" i="1" s="1"/>
  <c r="E14" i="1"/>
  <c r="F14" i="1" s="1"/>
  <c r="H14" i="1" s="1"/>
  <c r="E13" i="1"/>
  <c r="F13" i="1" s="1"/>
  <c r="H13" i="1" s="1"/>
  <c r="E12" i="1"/>
  <c r="F12" i="1" s="1"/>
  <c r="H12" i="1" s="1"/>
  <c r="E11" i="1"/>
  <c r="F11" i="1" s="1"/>
  <c r="H11" i="1" s="1"/>
  <c r="E10" i="1"/>
  <c r="F10" i="1" s="1"/>
  <c r="H10" i="1" s="1"/>
  <c r="E9" i="1"/>
  <c r="F9" i="1" s="1"/>
  <c r="H9" i="1" s="1"/>
  <c r="E8" i="1"/>
  <c r="F8" i="1" s="1"/>
  <c r="H8" i="1" s="1"/>
  <c r="E7" i="1"/>
  <c r="F7" i="1" s="1"/>
  <c r="H7" i="1" s="1"/>
  <c r="E6" i="1"/>
  <c r="F6" i="1" s="1"/>
  <c r="H6" i="1" s="1"/>
  <c r="E5" i="1"/>
  <c r="F5" i="1" s="1"/>
  <c r="H5" i="1" s="1"/>
  <c r="F4" i="1"/>
  <c r="H4" i="1" s="1"/>
  <c r="E3" i="1"/>
  <c r="F3" i="1" s="1"/>
  <c r="H3" i="1" s="1"/>
  <c r="E2" i="1"/>
  <c r="F2" i="1" s="1"/>
  <c r="H2" i="1" s="1"/>
  <c r="X26" i="1"/>
  <c r="Z26" i="1" s="1"/>
  <c r="W22" i="1"/>
  <c r="X22" i="1" s="1"/>
  <c r="Z22" i="1" s="1"/>
  <c r="N22" i="1"/>
  <c r="O22" i="1" s="1"/>
  <c r="Q22" i="1" s="1"/>
  <c r="W21" i="1"/>
  <c r="X21" i="1" s="1"/>
  <c r="Z21" i="1" s="1"/>
  <c r="N21" i="1"/>
  <c r="O21" i="1" s="1"/>
  <c r="Q21" i="1" s="1"/>
  <c r="W20" i="1"/>
  <c r="X20" i="1" s="1"/>
  <c r="Z20" i="1" s="1"/>
  <c r="N20" i="1"/>
  <c r="O20" i="1" s="1"/>
  <c r="Q20" i="1" s="1"/>
  <c r="W19" i="1"/>
  <c r="X19" i="1" s="1"/>
  <c r="Z19" i="1" s="1"/>
  <c r="N19" i="1"/>
  <c r="O19" i="1" s="1"/>
  <c r="Q19" i="1" s="1"/>
  <c r="W18" i="1"/>
  <c r="X18" i="1" s="1"/>
  <c r="Z18" i="1" s="1"/>
  <c r="N18" i="1"/>
  <c r="O18" i="1" s="1"/>
  <c r="Q18" i="1" s="1"/>
  <c r="W17" i="1"/>
  <c r="X17" i="1" s="1"/>
  <c r="Z17" i="1" s="1"/>
  <c r="N17" i="1"/>
  <c r="O17" i="1" s="1"/>
  <c r="Q17" i="1" s="1"/>
  <c r="W16" i="1"/>
  <c r="X16" i="1" s="1"/>
  <c r="Z16" i="1" s="1"/>
  <c r="N16" i="1"/>
  <c r="O16" i="1" s="1"/>
  <c r="Q16" i="1" s="1"/>
  <c r="W15" i="1"/>
  <c r="X15" i="1" s="1"/>
  <c r="Z15" i="1" s="1"/>
  <c r="N15" i="1"/>
  <c r="O15" i="1" s="1"/>
  <c r="Q15" i="1" s="1"/>
  <c r="W14" i="1"/>
  <c r="X14" i="1" s="1"/>
  <c r="Z14" i="1" s="1"/>
  <c r="N14" i="1"/>
  <c r="O14" i="1" s="1"/>
  <c r="Q14" i="1" s="1"/>
  <c r="W13" i="1"/>
  <c r="X13" i="1" s="1"/>
  <c r="Z13" i="1" s="1"/>
  <c r="N13" i="1"/>
  <c r="O13" i="1" s="1"/>
  <c r="Q13" i="1" s="1"/>
  <c r="W12" i="1"/>
  <c r="X12" i="1" s="1"/>
  <c r="Z12" i="1" s="1"/>
  <c r="N12" i="1"/>
  <c r="O12" i="1" s="1"/>
  <c r="Q12" i="1" s="1"/>
  <c r="W11" i="1"/>
  <c r="X11" i="1" s="1"/>
  <c r="Z11" i="1" s="1"/>
  <c r="N11" i="1"/>
  <c r="O11" i="1" s="1"/>
  <c r="Q11" i="1" s="1"/>
  <c r="W10" i="1"/>
  <c r="X10" i="1" s="1"/>
  <c r="Z10" i="1" s="1"/>
  <c r="N10" i="1"/>
  <c r="O10" i="1" s="1"/>
  <c r="Q10" i="1" s="1"/>
  <c r="W9" i="1"/>
  <c r="X9" i="1" s="1"/>
  <c r="Z9" i="1" s="1"/>
  <c r="N9" i="1"/>
  <c r="O9" i="1" s="1"/>
  <c r="Q9" i="1" s="1"/>
  <c r="W8" i="1"/>
  <c r="X8" i="1" s="1"/>
  <c r="Z8" i="1" s="1"/>
  <c r="N8" i="1"/>
  <c r="O8" i="1" s="1"/>
  <c r="Q8" i="1" s="1"/>
  <c r="W7" i="1"/>
  <c r="X7" i="1" s="1"/>
  <c r="Z7" i="1" s="1"/>
  <c r="N7" i="1"/>
  <c r="O7" i="1" s="1"/>
  <c r="Q7" i="1" s="1"/>
  <c r="W6" i="1"/>
  <c r="X6" i="1" s="1"/>
  <c r="Z6" i="1" s="1"/>
  <c r="N6" i="1"/>
  <c r="O6" i="1" s="1"/>
  <c r="Q6" i="1" s="1"/>
  <c r="X5" i="1"/>
  <c r="Z5" i="1" s="1"/>
  <c r="N5" i="1"/>
  <c r="O5" i="1" s="1"/>
  <c r="Q5" i="1" s="1"/>
  <c r="W4" i="1"/>
  <c r="X4" i="1" s="1"/>
  <c r="Z4" i="1" s="1"/>
  <c r="N4" i="1"/>
  <c r="O4" i="1" s="1"/>
  <c r="Q4" i="1" s="1"/>
  <c r="W3" i="1"/>
  <c r="X3" i="1" s="1"/>
  <c r="Z3" i="1" s="1"/>
  <c r="N3" i="1"/>
  <c r="O3" i="1" s="1"/>
  <c r="Q3" i="1" s="1"/>
  <c r="W2" i="1"/>
  <c r="X2" i="1" s="1"/>
  <c r="Z2" i="1" s="1"/>
  <c r="N2" i="1"/>
  <c r="O2" i="1" s="1"/>
  <c r="Q2" i="1" s="1"/>
  <c r="H30" i="1" l="1"/>
</calcChain>
</file>

<file path=xl/sharedStrings.xml><?xml version="1.0" encoding="utf-8"?>
<sst xmlns="http://schemas.openxmlformats.org/spreadsheetml/2006/main" count="855" uniqueCount="297">
  <si>
    <t>Samples</t>
  </si>
  <si>
    <t>subfiels</t>
  </si>
  <si>
    <t xml:space="preserve">slide IHC number </t>
  </si>
  <si>
    <t>dimensions stack 4g8</t>
  </si>
  <si>
    <t>Tot Vol stack vox</t>
  </si>
  <si>
    <t>Tot Volume stack um3</t>
  </si>
  <si>
    <t>Amyloid (4G8488) vol um3</t>
  </si>
  <si>
    <t>Amyloid( 4G8_488) vol %</t>
  </si>
  <si>
    <t>AD1939</t>
  </si>
  <si>
    <t>CA3</t>
  </si>
  <si>
    <t>2955*2951*24</t>
  </si>
  <si>
    <t>DG</t>
  </si>
  <si>
    <t>2951*2955*29</t>
  </si>
  <si>
    <t>AD1923</t>
  </si>
  <si>
    <t>2951*2951*21</t>
  </si>
  <si>
    <t>2946*2949*24</t>
  </si>
  <si>
    <t>2952*2956*33</t>
  </si>
  <si>
    <t>AD1780</t>
  </si>
  <si>
    <t>2945*2953*31</t>
  </si>
  <si>
    <t>2944*2952*25</t>
  </si>
  <si>
    <t>AD1669</t>
  </si>
  <si>
    <t>2957*2952*21</t>
  </si>
  <si>
    <t>2952*2957*16</t>
  </si>
  <si>
    <t>AD1534</t>
  </si>
  <si>
    <t>2956*2958*21</t>
  </si>
  <si>
    <t>AD1504</t>
  </si>
  <si>
    <t>2955*2960*26</t>
  </si>
  <si>
    <t>2944*2955*26</t>
  </si>
  <si>
    <t>AD1501</t>
  </si>
  <si>
    <t>2947*2953*25</t>
  </si>
  <si>
    <t>2954*2951*23</t>
  </si>
  <si>
    <t>AD1494</t>
  </si>
  <si>
    <t>2945*2958*25</t>
  </si>
  <si>
    <t>2951*2956*27</t>
  </si>
  <si>
    <t>AD1326</t>
  </si>
  <si>
    <t>2950*2951*25</t>
  </si>
  <si>
    <t>2950*2957*33</t>
  </si>
  <si>
    <t>AD1296</t>
  </si>
  <si>
    <t>2948*2953*24</t>
  </si>
  <si>
    <t>2957*2956*28</t>
  </si>
  <si>
    <t>CTL1895</t>
  </si>
  <si>
    <t>2953*2951*23</t>
  </si>
  <si>
    <t>2952*2956*27</t>
  </si>
  <si>
    <t>CTL1881</t>
  </si>
  <si>
    <t>2957*2961*21</t>
  </si>
  <si>
    <t>2948*2950*21</t>
  </si>
  <si>
    <t>CTL1763</t>
  </si>
  <si>
    <t>2952*2957*24</t>
  </si>
  <si>
    <t>2951*2957*22</t>
  </si>
  <si>
    <t>CTL1582</t>
  </si>
  <si>
    <t>2954*2952*23</t>
  </si>
  <si>
    <t>2957*2956*23</t>
  </si>
  <si>
    <t>CTL1547</t>
  </si>
  <si>
    <t>2949*2949*24</t>
  </si>
  <si>
    <t>2985*2953*24</t>
  </si>
  <si>
    <t>CTL1443</t>
  </si>
  <si>
    <t>2957*2275*16</t>
  </si>
  <si>
    <t>2953*2953*19</t>
  </si>
  <si>
    <t>CTL1419</t>
  </si>
  <si>
    <t>2958*2949*14</t>
  </si>
  <si>
    <t>2950*2954*18</t>
  </si>
  <si>
    <t>CTL1389</t>
  </si>
  <si>
    <t>2951*2950*22</t>
  </si>
  <si>
    <t>2950*2957*20</t>
  </si>
  <si>
    <t>CTL1374</t>
  </si>
  <si>
    <t>2954*2958*16</t>
  </si>
  <si>
    <t>2945*2957*20</t>
  </si>
  <si>
    <t>CTL808</t>
  </si>
  <si>
    <t>2955*2954*17</t>
  </si>
  <si>
    <t>2951*2962*17</t>
  </si>
  <si>
    <t>CTL488</t>
  </si>
  <si>
    <t>2959*2959*15</t>
  </si>
  <si>
    <t>2953*2954*17</t>
  </si>
  <si>
    <t>DLB1696</t>
  </si>
  <si>
    <t>DLB1671</t>
  </si>
  <si>
    <t>DLB1629</t>
  </si>
  <si>
    <t>DLB1573</t>
  </si>
  <si>
    <t>DLB1546</t>
  </si>
  <si>
    <t>DLB1251</t>
  </si>
  <si>
    <t>DLB1158</t>
  </si>
  <si>
    <t>CA1</t>
  </si>
  <si>
    <t>5926x5890x31</t>
  </si>
  <si>
    <t>5911x5886x30</t>
  </si>
  <si>
    <t>5857x5901x35</t>
  </si>
  <si>
    <t>5895x5889x34</t>
  </si>
  <si>
    <t>5909x5900x26</t>
  </si>
  <si>
    <t>5901x5903x31</t>
  </si>
  <si>
    <t>5893x5917x32</t>
  </si>
  <si>
    <t>5915x5909x21</t>
  </si>
  <si>
    <t>5903x5887x29</t>
  </si>
  <si>
    <t>5907x5898x36</t>
  </si>
  <si>
    <t>5899x5904x20</t>
  </si>
  <si>
    <t>5902x5884x35</t>
  </si>
  <si>
    <t>5899x5903x31</t>
  </si>
  <si>
    <t>5912x5902x26</t>
  </si>
  <si>
    <t>5896x5909x32</t>
  </si>
  <si>
    <t>5903*5903*24</t>
  </si>
  <si>
    <t>5888x5909x21</t>
  </si>
  <si>
    <t>5891x5901x27</t>
  </si>
  <si>
    <t>5909x5837x20</t>
  </si>
  <si>
    <t>5910x5909x20</t>
  </si>
  <si>
    <t>5896x5905x37</t>
  </si>
  <si>
    <t>5899x5882x33</t>
  </si>
  <si>
    <t>5905x5884x20</t>
  </si>
  <si>
    <t>5900x5898x46</t>
  </si>
  <si>
    <t>5909x5902x12</t>
  </si>
  <si>
    <t>2953*2948*19</t>
  </si>
  <si>
    <t>2946*2952*16</t>
  </si>
  <si>
    <t>2956*2956*19</t>
  </si>
  <si>
    <t>2952*2953*16</t>
  </si>
  <si>
    <t>2952*2950*20</t>
  </si>
  <si>
    <t>2955*2955*15</t>
  </si>
  <si>
    <t>2958*2959*25</t>
  </si>
  <si>
    <t>2945*2950*18</t>
  </si>
  <si>
    <t>2952*2950*24</t>
  </si>
  <si>
    <t>2944*2960*25</t>
  </si>
  <si>
    <t>2950*2955*23</t>
  </si>
  <si>
    <t>2948*2956*15</t>
  </si>
  <si>
    <t>2944*2947*16</t>
  </si>
  <si>
    <t>2947*2941*17</t>
  </si>
  <si>
    <t>2944*2954*24</t>
  </si>
  <si>
    <t>2950*2952*25</t>
  </si>
  <si>
    <t>dimensions stack At8</t>
  </si>
  <si>
    <t>Tau (AT8M647) vol um3</t>
  </si>
  <si>
    <t>Tau (AT8M647) vol %</t>
  </si>
  <si>
    <t>2951*2946*31</t>
  </si>
  <si>
    <t>2941*2953*35</t>
  </si>
  <si>
    <t>2950x2943x14</t>
  </si>
  <si>
    <t>2950*2943*26</t>
  </si>
  <si>
    <t>2948*2946*41</t>
  </si>
  <si>
    <t xml:space="preserve">2954*2950*34 </t>
  </si>
  <si>
    <t>2953*2952*28</t>
  </si>
  <si>
    <t>2952*2951*29</t>
  </si>
  <si>
    <t>2940*2952*20</t>
  </si>
  <si>
    <t>2951*2943*24</t>
  </si>
  <si>
    <t>2954*2943*16</t>
  </si>
  <si>
    <t>2939*2945*25</t>
  </si>
  <si>
    <t>2941*2943*25</t>
  </si>
  <si>
    <t>2935*2945*24</t>
  </si>
  <si>
    <t>2961*2955*27</t>
  </si>
  <si>
    <t>2954*2984*47</t>
  </si>
  <si>
    <t>2953*2961*24</t>
  </si>
  <si>
    <t>2943*2971*54</t>
  </si>
  <si>
    <t>2971*2971*23</t>
  </si>
  <si>
    <t>2952*2959*29</t>
  </si>
  <si>
    <t>2950*2956*27</t>
  </si>
  <si>
    <t>2955*2963*24</t>
  </si>
  <si>
    <t>2958*2956*24</t>
  </si>
  <si>
    <t>2954*2960*23</t>
  </si>
  <si>
    <t>2971*2963*29</t>
  </si>
  <si>
    <t>2979*3005*34</t>
  </si>
  <si>
    <t>2970*2957*36</t>
  </si>
  <si>
    <t>2939*2949*48</t>
  </si>
  <si>
    <t>2971*2996*43</t>
  </si>
  <si>
    <t>2953*2957*26</t>
  </si>
  <si>
    <t>2962*2943*40</t>
  </si>
  <si>
    <t>2946*2950*26</t>
  </si>
  <si>
    <t>2982*2958*36</t>
  </si>
  <si>
    <t>2965*2993*39</t>
  </si>
  <si>
    <t>2979*2940*34</t>
  </si>
  <si>
    <t>2957*2956*37</t>
  </si>
  <si>
    <t>2953*2964*29</t>
  </si>
  <si>
    <t>2962*2958*23</t>
  </si>
  <si>
    <t>2957*2972*18</t>
  </si>
  <si>
    <t>2949*2949*29</t>
  </si>
  <si>
    <t>2949*2949*32</t>
  </si>
  <si>
    <t>2954*2952*27</t>
  </si>
  <si>
    <t>2957*2955*25</t>
  </si>
  <si>
    <t>2952*2954*23</t>
  </si>
  <si>
    <t>2955*2960*21</t>
  </si>
  <si>
    <t>2976*2975*44</t>
  </si>
  <si>
    <t>2965*2951*30</t>
  </si>
  <si>
    <t>2954*2960*24</t>
  </si>
  <si>
    <t>2952*2960*22</t>
  </si>
  <si>
    <t>2956x2945x33</t>
  </si>
  <si>
    <t>2953x2950x36</t>
  </si>
  <si>
    <t>2950x2945x33</t>
  </si>
  <si>
    <t>2947x2953x42</t>
  </si>
  <si>
    <t>2950x2944x46</t>
  </si>
  <si>
    <t>2953x2953x47</t>
  </si>
  <si>
    <t>2960x2943x33</t>
  </si>
  <si>
    <t>2947x2946x29</t>
  </si>
  <si>
    <t>2952x2957x34</t>
  </si>
  <si>
    <t>2952x2951x31</t>
  </si>
  <si>
    <t>2958x2960x36</t>
  </si>
  <si>
    <t>2953x2953x27</t>
  </si>
  <si>
    <t>2980x2966x48</t>
  </si>
  <si>
    <t>2963x2950x43</t>
  </si>
  <si>
    <t>2946x2950x35</t>
  </si>
  <si>
    <t>2946x2949x26</t>
  </si>
  <si>
    <t>2949x2957x69</t>
  </si>
  <si>
    <t>2951x2952x31</t>
  </si>
  <si>
    <t>2947x2948x33</t>
  </si>
  <si>
    <t>2971x2962x52</t>
  </si>
  <si>
    <t>2943x2926x51</t>
  </si>
  <si>
    <t>2945x2949x55</t>
  </si>
  <si>
    <t>2953x2952x49</t>
  </si>
  <si>
    <t>2957*2954*40</t>
  </si>
  <si>
    <t>2952x2950x17</t>
  </si>
  <si>
    <t>2953x2947x38</t>
  </si>
  <si>
    <t>2940x2950x27</t>
  </si>
  <si>
    <t>2948x2960x36</t>
  </si>
  <si>
    <t>2943*2952*24</t>
  </si>
  <si>
    <t>2952*2946*30</t>
  </si>
  <si>
    <t>2955*2950*23</t>
  </si>
  <si>
    <t>2949*2949*20</t>
  </si>
  <si>
    <t>Psyn(PsynM488) vol um3</t>
  </si>
  <si>
    <t>Psyn (PsynM488) vol %</t>
  </si>
  <si>
    <t>2954x2958x23</t>
  </si>
  <si>
    <t>2960*2957*26</t>
  </si>
  <si>
    <t>2957*2958*32</t>
  </si>
  <si>
    <t>2950*2943*36</t>
  </si>
  <si>
    <t>2954*2958*28</t>
  </si>
  <si>
    <t>2953*2950*26</t>
  </si>
  <si>
    <t>2953*2952*41</t>
  </si>
  <si>
    <t>2953*2952*26</t>
  </si>
  <si>
    <t>2954*2953*26</t>
  </si>
  <si>
    <t>2945*2952*26</t>
  </si>
  <si>
    <t>2957*2955*16</t>
  </si>
  <si>
    <t>2949*2946*18</t>
  </si>
  <si>
    <t>2945*2947*23</t>
  </si>
  <si>
    <t>2946*2947*34</t>
  </si>
  <si>
    <t>2949*2949*28</t>
  </si>
  <si>
    <t>2951*2948*16</t>
  </si>
  <si>
    <t>2949*2949*17</t>
  </si>
  <si>
    <t>2945*2948*22</t>
  </si>
  <si>
    <t>2949*2949*22</t>
  </si>
  <si>
    <t>2949*2949*19</t>
  </si>
  <si>
    <t>2949*2949*26</t>
  </si>
  <si>
    <t>2949*2949*23</t>
  </si>
  <si>
    <t>2956*2942*24</t>
  </si>
  <si>
    <t>2949*2949*21</t>
  </si>
  <si>
    <t>2949*2949*18</t>
  </si>
  <si>
    <t>2956*2946*36</t>
  </si>
  <si>
    <t>2956*2953*22</t>
  </si>
  <si>
    <t>2958*2953*22</t>
  </si>
  <si>
    <t>2952*2955*23</t>
  </si>
  <si>
    <t>2953*2949*25</t>
  </si>
  <si>
    <t>2960*2957*23</t>
  </si>
  <si>
    <t>2954*2939*45</t>
  </si>
  <si>
    <t>2955*2954*28</t>
  </si>
  <si>
    <t>2956*2953*24</t>
  </si>
  <si>
    <t>2950*2951*42</t>
  </si>
  <si>
    <t>2949*2951*28</t>
  </si>
  <si>
    <t>2956*2947*36</t>
  </si>
  <si>
    <t>2951*2949*26</t>
  </si>
  <si>
    <t>2949*2955*25</t>
  </si>
  <si>
    <t>2946*2946*20</t>
  </si>
  <si>
    <t>2954*2956*17</t>
  </si>
  <si>
    <t>2954*2959*20</t>
  </si>
  <si>
    <t>2949*2950*15</t>
  </si>
  <si>
    <t>2951*2954*26</t>
  </si>
  <si>
    <t>2955*2954*27</t>
  </si>
  <si>
    <t>2952*2950*35</t>
  </si>
  <si>
    <t>2955*2958*25</t>
  </si>
  <si>
    <t>2949*2953*21</t>
  </si>
  <si>
    <t>2952*2945*35</t>
  </si>
  <si>
    <t>2953*2956*22</t>
  </si>
  <si>
    <t>2949*2953*27</t>
  </si>
  <si>
    <t>2949*2944*22</t>
  </si>
  <si>
    <t>2950*2952*16</t>
  </si>
  <si>
    <t>2950*2959*17</t>
  </si>
  <si>
    <t>2951*2949*29</t>
  </si>
  <si>
    <t>2955*2953*23</t>
  </si>
  <si>
    <t>2949*2949*12</t>
  </si>
  <si>
    <t>2956*2954*24</t>
  </si>
  <si>
    <t>2958*2949*23</t>
  </si>
  <si>
    <t>2949*2949*33</t>
  </si>
  <si>
    <t>2956*2956*22</t>
  </si>
  <si>
    <t>2951*2948*21</t>
  </si>
  <si>
    <t>2950*2949*20</t>
  </si>
  <si>
    <t>2955*2961*18</t>
  </si>
  <si>
    <t>2950*2956*20</t>
  </si>
  <si>
    <t>2949*2949*14</t>
  </si>
  <si>
    <t>2953*2963*17</t>
  </si>
  <si>
    <t>2962*2953*20</t>
  </si>
  <si>
    <t>2946*2947*27</t>
  </si>
  <si>
    <t>2951*2954*27</t>
  </si>
  <si>
    <t>2957*2955*21</t>
  </si>
  <si>
    <t>CA1_2</t>
  </si>
  <si>
    <t>2943*2960*17</t>
  </si>
  <si>
    <t>2953*2954*27</t>
  </si>
  <si>
    <t>2950*2956*31</t>
  </si>
  <si>
    <t>AD1669_2</t>
  </si>
  <si>
    <t>AD1534_2</t>
  </si>
  <si>
    <t>2951*2953*25</t>
  </si>
  <si>
    <t>AD1780_2</t>
  </si>
  <si>
    <t>2956*2952*22</t>
  </si>
  <si>
    <t>2951*2957*23</t>
  </si>
  <si>
    <t>2940*2957*23</t>
  </si>
  <si>
    <t>AD1326_2</t>
  </si>
  <si>
    <t>2946*2949*26</t>
  </si>
  <si>
    <t>2960*2958*21</t>
  </si>
  <si>
    <t>2953x2957x32</t>
  </si>
  <si>
    <t>2956*2949*22</t>
  </si>
  <si>
    <t>5904x5889x29</t>
  </si>
  <si>
    <t>DLB1839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</si>
</sst>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0" fillId="0" borderId="0" xfId="0" applyFill="1" applyBorder="1"/>
    <xf numFmtId="0" fontId="1" fillId="0" borderId="1" xfId="0" applyFont="1" applyFill="1" applyBorder="1"/>
    <xf numFmtId="0" fontId="0" fillId="3" borderId="0" xfId="0" applyFill="1"/>
    <xf numFmtId="2" fontId="0" fillId="0" borderId="0" xfId="0" applyNumberFormat="1" applyFill="1" applyProtection="1">
      <protection locked="0"/>
    </xf>
    <xf numFmtId="0" fontId="0" fillId="0" borderId="0" xfId="0" applyBorder="1"/>
    <xf numFmtId="0" fontId="2" fillId="0" borderId="0" xfId="0" applyFont="1"/>
    <xf numFmtId="0" fontId="2" fillId="0" borderId="1" xfId="0" applyFont="1" applyBorder="1"/>
    <xf numFmtId="0" fontId="2" fillId="3" borderId="0" xfId="0" applyFont="1" applyFill="1"/>
    <xf numFmtId="0" fontId="0" fillId="2" borderId="0" xfId="0" applyFill="1" applyBorder="1"/>
    <xf numFmtId="0" fontId="2" fillId="4" borderId="0" xfId="0" applyFont="1" applyFill="1"/>
    <xf numFmtId="0" fontId="2" fillId="3" borderId="1" xfId="0" applyFont="1" applyFill="1" applyBorder="1"/>
    <xf numFmtId="0" fontId="2" fillId="0" borderId="0" xfId="0" applyFont="1" applyBorder="1"/>
    <xf numFmtId="0" fontId="2" fillId="3" borderId="0" xfId="0" applyFont="1" applyFill="1" applyBorder="1"/>
    <xf numFmtId="0" fontId="0" fillId="3" borderId="1" xfId="0" applyFill="1" applyBorder="1"/>
    <xf numFmtId="0" fontId="0" fillId="3" borderId="0" xfId="0" applyFill="1" applyBorder="1"/>
    <xf numFmtId="0" fontId="1" fillId="0" borderId="1" xfId="0" applyFont="1" applyBorder="1"/>
    <xf numFmtId="0" fontId="1" fillId="3" borderId="1" xfId="0" applyFont="1" applyFill="1" applyBorder="1"/>
    <xf numFmtId="0" fontId="3" fillId="0" borderId="1" xfId="0" applyFont="1" applyBorder="1"/>
    <xf numFmtId="0" fontId="1" fillId="2" borderId="1" xfId="0" applyFont="1" applyFill="1" applyBorder="1"/>
    <xf numFmtId="0" fontId="0" fillId="5" borderId="0" xfId="0" applyFill="1"/>
    <xf numFmtId="0" fontId="1" fillId="5" borderId="1" xfId="0" applyFont="1" applyFill="1" applyBorder="1"/>
    <xf numFmtId="0" fontId="0" fillId="5" borderId="1" xfId="0" applyFill="1" applyBorder="1"/>
    <xf numFmtId="0" fontId="2" fillId="5" borderId="0" xfId="0" applyFont="1" applyFill="1"/>
    <xf numFmtId="0" fontId="2" fillId="5" borderId="1" xfId="0" applyFont="1" applyFill="1" applyBorder="1"/>
    <xf numFmtId="0" fontId="0" fillId="6" borderId="0" xfId="0" applyFill="1"/>
    <xf numFmtId="0" fontId="0" fillId="0" borderId="0" xfId="0" applyFont="1"/>
    <xf numFmtId="0" fontId="0" fillId="5" borderId="0" xfId="0" applyFont="1" applyFill="1"/>
    <xf numFmtId="0" fontId="0" fillId="0" borderId="1" xfId="0" applyFont="1" applyFill="1" applyBorder="1"/>
    <xf numFmtId="0" fontId="0" fillId="5" borderId="1" xfId="0" applyFont="1" applyFill="1" applyBorder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2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B4980-19AE-4B4A-A304-3695A1CF071D}">
  <dimension ref="A1:AA32"/>
  <sheetViews>
    <sheetView tabSelected="1" topLeftCell="O1" workbookViewId="0">
      <selection activeCell="B11" sqref="B11"/>
    </sheetView>
  </sheetViews>
  <sheetFormatPr baseColWidth="10" defaultRowHeight="16" x14ac:dyDescent="0.2"/>
  <cols>
    <col min="4" max="4" width="13" customWidth="1"/>
    <col min="5" max="5" width="19.1640625" customWidth="1"/>
    <col min="6" max="6" width="18.5" customWidth="1"/>
    <col min="7" max="7" width="22.5" customWidth="1"/>
    <col min="8" max="8" width="30.33203125" customWidth="1"/>
    <col min="9" max="9" width="10.83203125" style="8"/>
    <col min="13" max="13" width="20.1640625" customWidth="1"/>
    <col min="15" max="15" width="15.6640625" customWidth="1"/>
    <col min="16" max="16" width="18.6640625" customWidth="1"/>
    <col min="17" max="17" width="22.1640625" customWidth="1"/>
    <col min="18" max="18" width="10.83203125" style="8"/>
    <col min="22" max="22" width="15.1640625" customWidth="1"/>
    <col min="23" max="24" width="16.33203125" customWidth="1"/>
    <col min="25" max="25" width="17.5" customWidth="1"/>
    <col min="26" max="26" width="16.6640625" customWidth="1"/>
    <col min="27" max="27" width="10.83203125" style="8"/>
  </cols>
  <sheetData>
    <row r="1" spans="1:2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J1" t="s">
        <v>0</v>
      </c>
      <c r="K1" t="s">
        <v>1</v>
      </c>
      <c r="L1" t="s">
        <v>2</v>
      </c>
      <c r="M1" t="s">
        <v>3</v>
      </c>
      <c r="N1" t="s">
        <v>4</v>
      </c>
      <c r="O1" t="s">
        <v>5</v>
      </c>
      <c r="P1" t="s">
        <v>6</v>
      </c>
      <c r="Q1" t="s">
        <v>7</v>
      </c>
      <c r="S1" t="s">
        <v>0</v>
      </c>
      <c r="T1" t="s">
        <v>1</v>
      </c>
      <c r="U1" t="s">
        <v>2</v>
      </c>
      <c r="V1" t="s">
        <v>3</v>
      </c>
      <c r="W1" t="s">
        <v>4</v>
      </c>
      <c r="X1" t="s">
        <v>5</v>
      </c>
      <c r="Y1" t="s">
        <v>6</v>
      </c>
      <c r="Z1" t="s">
        <v>7</v>
      </c>
    </row>
    <row r="2" spans="1:27" x14ac:dyDescent="0.2">
      <c r="A2" t="s">
        <v>8</v>
      </c>
      <c r="B2" s="25" t="s">
        <v>80</v>
      </c>
      <c r="C2" s="2">
        <v>202043</v>
      </c>
      <c r="D2" t="s">
        <v>81</v>
      </c>
      <c r="E2">
        <f>5926*5890*31</f>
        <v>1082028340</v>
      </c>
      <c r="F2">
        <f>E2*0.208*0.208</f>
        <v>46812874.10176</v>
      </c>
      <c r="G2" s="9">
        <v>751316.68718758505</v>
      </c>
      <c r="H2">
        <f t="shared" ref="H2:H3" si="0">G2/F2*100</f>
        <v>1.6049360386512526</v>
      </c>
      <c r="J2" t="s">
        <v>8</v>
      </c>
      <c r="K2" s="25" t="s">
        <v>9</v>
      </c>
      <c r="L2" s="2">
        <v>202043</v>
      </c>
      <c r="M2" t="s">
        <v>10</v>
      </c>
      <c r="N2">
        <f>2955*2951*24</f>
        <v>209284920</v>
      </c>
      <c r="O2">
        <f>N2*0.415*0.415</f>
        <v>36044095.346999995</v>
      </c>
      <c r="P2">
        <v>835729.01</v>
      </c>
      <c r="Q2">
        <f>P2/O2*100</f>
        <v>2.3186294508278147</v>
      </c>
      <c r="S2" t="s">
        <v>8</v>
      </c>
      <c r="T2" s="25" t="s">
        <v>11</v>
      </c>
      <c r="U2" s="2">
        <v>202043</v>
      </c>
      <c r="V2" t="s">
        <v>12</v>
      </c>
      <c r="W2">
        <f>2951*2955*29</f>
        <v>252885945</v>
      </c>
      <c r="X2">
        <f>W2*0.415*0.415</f>
        <v>43553281.877624996</v>
      </c>
      <c r="Y2">
        <v>1128428</v>
      </c>
      <c r="Z2">
        <f>Y2/X2*100</f>
        <v>2.5909138217657874</v>
      </c>
    </row>
    <row r="3" spans="1:27" x14ac:dyDescent="0.2">
      <c r="A3" t="s">
        <v>13</v>
      </c>
      <c r="B3" s="25" t="s">
        <v>80</v>
      </c>
      <c r="C3" s="2">
        <v>202044</v>
      </c>
      <c r="D3" t="s">
        <v>82</v>
      </c>
      <c r="E3">
        <f>5911*5886*30</f>
        <v>1043764380</v>
      </c>
      <c r="F3">
        <f>E3*0.208*0.208</f>
        <v>45157422.136319995</v>
      </c>
      <c r="G3">
        <v>76035.936213879584</v>
      </c>
      <c r="H3">
        <f t="shared" si="0"/>
        <v>0.16837970950676584</v>
      </c>
      <c r="J3" t="s">
        <v>13</v>
      </c>
      <c r="K3" s="25" t="s">
        <v>9</v>
      </c>
      <c r="L3" s="2">
        <v>202044</v>
      </c>
      <c r="M3" t="s">
        <v>14</v>
      </c>
      <c r="N3">
        <f>2951*2951*21</f>
        <v>182876421</v>
      </c>
      <c r="O3">
        <f t="shared" ref="O3:O32" si="1">N3*0.415*0.415</f>
        <v>31495891.606725</v>
      </c>
      <c r="P3">
        <v>375889.29</v>
      </c>
      <c r="Q3">
        <f t="shared" ref="Q3:Q30" si="2">P3/O3*100</f>
        <v>1.1934549899191935</v>
      </c>
      <c r="S3" t="s">
        <v>13</v>
      </c>
      <c r="T3" s="25" t="s">
        <v>11</v>
      </c>
      <c r="U3" s="2">
        <v>202044</v>
      </c>
      <c r="V3" t="s">
        <v>14</v>
      </c>
      <c r="W3">
        <f>2951*2951*21</f>
        <v>182876421</v>
      </c>
      <c r="X3">
        <f t="shared" ref="X3:X30" si="3">W3*0.415*0.415</f>
        <v>31495891.606725</v>
      </c>
      <c r="Y3">
        <v>629028.87</v>
      </c>
      <c r="Z3">
        <f t="shared" ref="Z3:Z30" si="4">Y3/X3*100</f>
        <v>1.9971775298645293</v>
      </c>
    </row>
    <row r="4" spans="1:27" x14ac:dyDescent="0.2">
      <c r="A4" t="s">
        <v>17</v>
      </c>
      <c r="B4" s="30" t="s">
        <v>80</v>
      </c>
      <c r="C4" s="2">
        <v>202057</v>
      </c>
      <c r="D4" t="s">
        <v>295</v>
      </c>
      <c r="E4">
        <f>5904*5889*29</f>
        <v>1008291024</v>
      </c>
      <c r="F4">
        <f t="shared" ref="F4:F29" si="5">E4*0.208*0.208</f>
        <v>43622702.862335995</v>
      </c>
      <c r="G4">
        <v>86221.27</v>
      </c>
      <c r="H4">
        <f t="shared" ref="H4:H30" si="6">G4/F4*100</f>
        <v>0.19765228732409376</v>
      </c>
      <c r="J4" t="s">
        <v>17</v>
      </c>
      <c r="K4" s="25" t="s">
        <v>9</v>
      </c>
      <c r="L4" s="2">
        <v>202057</v>
      </c>
      <c r="M4" t="s">
        <v>18</v>
      </c>
      <c r="N4">
        <f>2945*2953*31</f>
        <v>269594135</v>
      </c>
      <c r="O4">
        <f t="shared" si="1"/>
        <v>46430849.900374994</v>
      </c>
      <c r="P4">
        <v>94579.66</v>
      </c>
      <c r="Q4">
        <f t="shared" si="2"/>
        <v>0.20370004038895731</v>
      </c>
      <c r="S4" t="s">
        <v>17</v>
      </c>
      <c r="T4" s="25" t="s">
        <v>11</v>
      </c>
      <c r="U4" s="2">
        <v>202057</v>
      </c>
      <c r="V4" t="s">
        <v>19</v>
      </c>
      <c r="W4">
        <f>2944*2952*25</f>
        <v>217267200</v>
      </c>
      <c r="X4">
        <f t="shared" si="3"/>
        <v>37418843.519999996</v>
      </c>
      <c r="Y4">
        <v>54745.33</v>
      </c>
      <c r="Z4">
        <f t="shared" si="4"/>
        <v>0.14630417418095559</v>
      </c>
    </row>
    <row r="5" spans="1:27" x14ac:dyDescent="0.2">
      <c r="A5" t="s">
        <v>20</v>
      </c>
      <c r="B5" s="25" t="s">
        <v>80</v>
      </c>
      <c r="C5" s="2">
        <v>202049</v>
      </c>
      <c r="D5" t="s">
        <v>83</v>
      </c>
      <c r="E5">
        <f>5857*5901*35</f>
        <v>1209675495</v>
      </c>
      <c r="F5">
        <f t="shared" si="5"/>
        <v>52335400.615679994</v>
      </c>
      <c r="G5" s="9">
        <v>185245.71243332711</v>
      </c>
      <c r="H5">
        <f t="shared" si="6"/>
        <v>0.35395871676546675</v>
      </c>
      <c r="J5" t="s">
        <v>20</v>
      </c>
      <c r="K5" s="25" t="s">
        <v>9</v>
      </c>
      <c r="L5" s="2">
        <v>202049</v>
      </c>
      <c r="M5" t="s">
        <v>21</v>
      </c>
      <c r="N5">
        <f>2957*2952*21</f>
        <v>183310344</v>
      </c>
      <c r="O5">
        <f t="shared" si="1"/>
        <v>31570623.995399993</v>
      </c>
      <c r="P5">
        <v>323884.34999999998</v>
      </c>
      <c r="Q5">
        <f t="shared" si="2"/>
        <v>1.0259041761328243</v>
      </c>
      <c r="S5" t="s">
        <v>20</v>
      </c>
      <c r="T5" s="30" t="s">
        <v>11</v>
      </c>
      <c r="U5" s="2">
        <v>202049</v>
      </c>
      <c r="V5" t="s">
        <v>294</v>
      </c>
      <c r="W5">
        <f>2956*2949*22</f>
        <v>191779368</v>
      </c>
      <c r="X5">
        <f t="shared" si="3"/>
        <v>33029201.6538</v>
      </c>
      <c r="Y5">
        <v>153111.84</v>
      </c>
      <c r="Z5">
        <f t="shared" si="4"/>
        <v>0.46356506465055453</v>
      </c>
    </row>
    <row r="6" spans="1:27" x14ac:dyDescent="0.2">
      <c r="A6" t="s">
        <v>23</v>
      </c>
      <c r="B6" s="25" t="s">
        <v>80</v>
      </c>
      <c r="C6" s="2">
        <v>202058</v>
      </c>
      <c r="D6" t="s">
        <v>84</v>
      </c>
      <c r="E6">
        <f>5895*5889*34</f>
        <v>1180332270</v>
      </c>
      <c r="F6">
        <f t="shared" si="5"/>
        <v>51065895.329279996</v>
      </c>
      <c r="G6" s="9">
        <v>106799.23</v>
      </c>
      <c r="H6">
        <f t="shared" si="6"/>
        <v>0.20914003232753228</v>
      </c>
      <c r="J6" t="s">
        <v>23</v>
      </c>
      <c r="K6" s="25" t="s">
        <v>9</v>
      </c>
      <c r="L6" s="2">
        <v>202058</v>
      </c>
      <c r="M6" t="s">
        <v>22</v>
      </c>
      <c r="N6">
        <f>2952*2957*16</f>
        <v>139665024</v>
      </c>
      <c r="O6">
        <f t="shared" si="1"/>
        <v>24053808.758400001</v>
      </c>
      <c r="P6">
        <v>201296.33</v>
      </c>
      <c r="Q6">
        <f t="shared" si="2"/>
        <v>0.83685844525434616</v>
      </c>
      <c r="S6" t="s">
        <v>23</v>
      </c>
      <c r="T6" s="25" t="s">
        <v>11</v>
      </c>
      <c r="U6" s="2">
        <v>202058</v>
      </c>
      <c r="V6" t="s">
        <v>24</v>
      </c>
      <c r="W6">
        <f>2956*2958*21</f>
        <v>183620808</v>
      </c>
      <c r="X6">
        <f t="shared" si="3"/>
        <v>31624093.657799996</v>
      </c>
      <c r="Y6">
        <v>148709.56</v>
      </c>
      <c r="Z6">
        <f t="shared" si="4"/>
        <v>0.4702413343736136</v>
      </c>
    </row>
    <row r="7" spans="1:27" x14ac:dyDescent="0.2">
      <c r="A7" t="s">
        <v>25</v>
      </c>
      <c r="B7" s="25" t="s">
        <v>80</v>
      </c>
      <c r="C7" s="2">
        <v>202083</v>
      </c>
      <c r="D7" t="s">
        <v>85</v>
      </c>
      <c r="E7">
        <f>5909*5900*26</f>
        <v>906440600</v>
      </c>
      <c r="F7">
        <f t="shared" si="5"/>
        <v>39216246.118399993</v>
      </c>
      <c r="G7" s="9">
        <v>254923.87</v>
      </c>
      <c r="H7">
        <f t="shared" si="6"/>
        <v>0.65004658842242291</v>
      </c>
      <c r="J7" t="s">
        <v>25</v>
      </c>
      <c r="K7" s="25" t="s">
        <v>9</v>
      </c>
      <c r="L7" s="2">
        <v>202083</v>
      </c>
      <c r="M7" t="s">
        <v>26</v>
      </c>
      <c r="N7">
        <f>2955*2960*26</f>
        <v>227416800</v>
      </c>
      <c r="O7">
        <f t="shared" si="1"/>
        <v>39166858.379999995</v>
      </c>
      <c r="P7">
        <v>23340.61</v>
      </c>
      <c r="Q7">
        <f t="shared" si="2"/>
        <v>5.9592755113385742E-2</v>
      </c>
      <c r="S7" t="s">
        <v>25</v>
      </c>
      <c r="T7" s="25" t="s">
        <v>11</v>
      </c>
      <c r="U7" s="2">
        <v>202083</v>
      </c>
      <c r="V7" t="s">
        <v>27</v>
      </c>
      <c r="W7">
        <f>2944*2955*26</f>
        <v>226187520</v>
      </c>
      <c r="X7">
        <f t="shared" si="3"/>
        <v>38955145.631999999</v>
      </c>
      <c r="Y7">
        <v>94990.29</v>
      </c>
      <c r="Z7">
        <f t="shared" si="4"/>
        <v>0.24384529555440682</v>
      </c>
    </row>
    <row r="8" spans="1:27" x14ac:dyDescent="0.2">
      <c r="A8" t="s">
        <v>28</v>
      </c>
      <c r="B8" s="25" t="s">
        <v>80</v>
      </c>
      <c r="C8" s="2">
        <v>202089</v>
      </c>
      <c r="D8" t="s">
        <v>86</v>
      </c>
      <c r="E8">
        <f>5901*5903*31</f>
        <v>1079841693</v>
      </c>
      <c r="F8">
        <f t="shared" si="5"/>
        <v>46718271.005951993</v>
      </c>
      <c r="G8">
        <v>1011666</v>
      </c>
      <c r="H8">
        <f t="shared" si="6"/>
        <v>2.1654611316225978</v>
      </c>
      <c r="J8" t="s">
        <v>28</v>
      </c>
      <c r="K8" s="25" t="s">
        <v>9</v>
      </c>
      <c r="L8" s="2">
        <v>202089</v>
      </c>
      <c r="M8" t="s">
        <v>29</v>
      </c>
      <c r="N8">
        <f>2947*2953*25</f>
        <v>217562275</v>
      </c>
      <c r="O8">
        <f t="shared" si="1"/>
        <v>37469662.811875001</v>
      </c>
      <c r="P8">
        <v>1187038</v>
      </c>
      <c r="Q8">
        <f t="shared" si="2"/>
        <v>3.1679975503377102</v>
      </c>
      <c r="S8" t="s">
        <v>28</v>
      </c>
      <c r="T8" s="25" t="s">
        <v>11</v>
      </c>
      <c r="U8" s="2">
        <v>202089</v>
      </c>
      <c r="V8" t="s">
        <v>30</v>
      </c>
      <c r="W8">
        <f>2954*2951*23</f>
        <v>200496842</v>
      </c>
      <c r="X8">
        <f t="shared" si="3"/>
        <v>34530568.613449998</v>
      </c>
      <c r="Y8">
        <v>1334480</v>
      </c>
      <c r="Z8">
        <f t="shared" si="4"/>
        <v>3.8646337247982845</v>
      </c>
    </row>
    <row r="9" spans="1:27" x14ac:dyDescent="0.2">
      <c r="A9" t="s">
        <v>31</v>
      </c>
      <c r="B9" s="25" t="s">
        <v>80</v>
      </c>
      <c r="C9" s="2">
        <v>202084</v>
      </c>
      <c r="D9" t="s">
        <v>87</v>
      </c>
      <c r="E9">
        <f>5893*5917*32</f>
        <v>1115804192</v>
      </c>
      <c r="F9">
        <f t="shared" si="5"/>
        <v>48274152.562687993</v>
      </c>
      <c r="G9">
        <v>1127787.57</v>
      </c>
      <c r="H9">
        <f t="shared" si="6"/>
        <v>2.3362141231489759</v>
      </c>
      <c r="J9" t="s">
        <v>31</v>
      </c>
      <c r="K9" s="25" t="s">
        <v>9</v>
      </c>
      <c r="L9" s="2">
        <v>202084</v>
      </c>
      <c r="M9" t="s">
        <v>32</v>
      </c>
      <c r="N9">
        <f>2945*2958*25</f>
        <v>217782750</v>
      </c>
      <c r="O9">
        <f t="shared" si="1"/>
        <v>37507634.118749999</v>
      </c>
      <c r="P9">
        <v>582187.80000000005</v>
      </c>
      <c r="Q9">
        <f t="shared" si="2"/>
        <v>1.5521848116486916</v>
      </c>
      <c r="S9" t="s">
        <v>31</v>
      </c>
      <c r="T9" s="25" t="s">
        <v>11</v>
      </c>
      <c r="U9" s="2">
        <v>202084</v>
      </c>
      <c r="V9" t="s">
        <v>33</v>
      </c>
      <c r="W9">
        <f>2951*2956*27</f>
        <v>235525212</v>
      </c>
      <c r="X9">
        <f t="shared" si="3"/>
        <v>40563329.636699997</v>
      </c>
      <c r="Y9">
        <v>598013</v>
      </c>
      <c r="Z9">
        <f t="shared" si="4"/>
        <v>1.4742700004068279</v>
      </c>
    </row>
    <row r="10" spans="1:27" x14ac:dyDescent="0.2">
      <c r="A10" s="2" t="s">
        <v>34</v>
      </c>
      <c r="B10" s="25" t="s">
        <v>80</v>
      </c>
      <c r="C10" s="2">
        <v>202074</v>
      </c>
      <c r="D10" t="s">
        <v>88</v>
      </c>
      <c r="E10">
        <f>5915*5909*21</f>
        <v>733986435</v>
      </c>
      <c r="F10">
        <f t="shared" si="5"/>
        <v>31755189.123839997</v>
      </c>
      <c r="G10" s="31">
        <v>127853.86</v>
      </c>
      <c r="H10">
        <f t="shared" si="6"/>
        <v>0.40262351926606715</v>
      </c>
      <c r="J10" t="s">
        <v>34</v>
      </c>
      <c r="K10" s="25" t="s">
        <v>9</v>
      </c>
      <c r="L10" s="2">
        <v>202074</v>
      </c>
      <c r="M10" t="s">
        <v>35</v>
      </c>
      <c r="N10">
        <f>2950*2951*25</f>
        <v>217636250</v>
      </c>
      <c r="O10">
        <f t="shared" si="1"/>
        <v>37482403.15625</v>
      </c>
      <c r="P10">
        <v>414092.45</v>
      </c>
      <c r="Q10">
        <f t="shared" si="2"/>
        <v>1.1047649433623687</v>
      </c>
      <c r="S10" t="s">
        <v>34</v>
      </c>
      <c r="T10" s="25" t="s">
        <v>11</v>
      </c>
      <c r="U10" s="2">
        <v>202074</v>
      </c>
      <c r="V10" t="s">
        <v>36</v>
      </c>
      <c r="W10">
        <f>2950*2957*33</f>
        <v>287863950</v>
      </c>
      <c r="X10">
        <f t="shared" si="3"/>
        <v>49577368.78875</v>
      </c>
      <c r="Y10">
        <v>1076084</v>
      </c>
      <c r="Z10">
        <f t="shared" si="4"/>
        <v>2.1705145438137547</v>
      </c>
    </row>
    <row r="11" spans="1:27" x14ac:dyDescent="0.2">
      <c r="A11" s="3" t="s">
        <v>37</v>
      </c>
      <c r="B11" s="27" t="s">
        <v>80</v>
      </c>
      <c r="C11" s="4">
        <v>202088</v>
      </c>
      <c r="D11" s="3" t="s">
        <v>89</v>
      </c>
      <c r="E11" s="3">
        <f>5903*5887*29</f>
        <v>1007777869</v>
      </c>
      <c r="F11" s="3">
        <f t="shared" si="5"/>
        <v>43600501.724415995</v>
      </c>
      <c r="G11" s="3">
        <v>1831252.65</v>
      </c>
      <c r="H11" s="3">
        <f t="shared" si="6"/>
        <v>4.200072424796228</v>
      </c>
      <c r="I11" s="19"/>
      <c r="J11" s="3" t="s">
        <v>37</v>
      </c>
      <c r="K11" s="27" t="s">
        <v>9</v>
      </c>
      <c r="L11" s="4">
        <v>202088</v>
      </c>
      <c r="M11" s="3" t="s">
        <v>38</v>
      </c>
      <c r="N11" s="3">
        <f>2948*2953*24</f>
        <v>208930656</v>
      </c>
      <c r="O11" s="3">
        <f t="shared" si="1"/>
        <v>35983082.229599997</v>
      </c>
      <c r="P11" s="3">
        <v>1076084</v>
      </c>
      <c r="Q11" s="3">
        <f t="shared" si="2"/>
        <v>2.9905275849738184</v>
      </c>
      <c r="R11" s="19"/>
      <c r="S11" s="3" t="s">
        <v>37</v>
      </c>
      <c r="T11" s="27" t="s">
        <v>11</v>
      </c>
      <c r="U11" s="4">
        <v>202088</v>
      </c>
      <c r="V11" s="3" t="s">
        <v>39</v>
      </c>
      <c r="W11" s="3">
        <f>2957*2956*28</f>
        <v>244744976</v>
      </c>
      <c r="X11" s="3">
        <f t="shared" si="3"/>
        <v>42151203.491599992</v>
      </c>
      <c r="Y11" s="3">
        <v>1016881</v>
      </c>
      <c r="Z11" s="3">
        <f t="shared" si="4"/>
        <v>2.4124601808881847</v>
      </c>
      <c r="AA11" s="19"/>
    </row>
    <row r="12" spans="1:27" x14ac:dyDescent="0.2">
      <c r="A12" s="6" t="s">
        <v>40</v>
      </c>
      <c r="B12" s="25" t="s">
        <v>80</v>
      </c>
      <c r="C12" s="6">
        <v>202052</v>
      </c>
      <c r="D12" s="10" t="s">
        <v>90</v>
      </c>
      <c r="E12" s="10">
        <f>5907*5898*36</f>
        <v>1254221496</v>
      </c>
      <c r="F12" s="10">
        <f t="shared" si="5"/>
        <v>54262638.802943997</v>
      </c>
      <c r="G12" s="10">
        <v>39701.435495176775</v>
      </c>
      <c r="H12" s="10">
        <f t="shared" si="6"/>
        <v>7.3165324007469376E-2</v>
      </c>
      <c r="J12" s="6" t="s">
        <v>40</v>
      </c>
      <c r="K12" s="25" t="s">
        <v>9</v>
      </c>
      <c r="L12" s="6">
        <v>202052</v>
      </c>
      <c r="M12" s="6" t="s">
        <v>41</v>
      </c>
      <c r="N12">
        <f>2953*2951*23</f>
        <v>200428969</v>
      </c>
      <c r="O12">
        <f t="shared" si="1"/>
        <v>34518879.186024994</v>
      </c>
      <c r="P12" s="6">
        <v>361781.54</v>
      </c>
      <c r="Q12">
        <f t="shared" si="2"/>
        <v>1.0480686179013241</v>
      </c>
      <c r="S12" s="6" t="s">
        <v>40</v>
      </c>
      <c r="T12" s="25" t="s">
        <v>11</v>
      </c>
      <c r="U12" s="6">
        <v>202052</v>
      </c>
      <c r="V12" s="6" t="s">
        <v>42</v>
      </c>
      <c r="W12">
        <f>2952*2956*27</f>
        <v>235605024</v>
      </c>
      <c r="X12">
        <f t="shared" si="3"/>
        <v>40577075.258399993</v>
      </c>
      <c r="Y12" s="6">
        <v>305034.74</v>
      </c>
      <c r="Z12">
        <f t="shared" si="4"/>
        <v>0.75174156357376631</v>
      </c>
    </row>
    <row r="13" spans="1:27" x14ac:dyDescent="0.2">
      <c r="A13" s="6" t="s">
        <v>43</v>
      </c>
      <c r="B13" s="25" t="s">
        <v>80</v>
      </c>
      <c r="C13" s="2">
        <v>202053</v>
      </c>
      <c r="D13" s="6" t="s">
        <v>91</v>
      </c>
      <c r="E13">
        <f>5899*5904*20</f>
        <v>696553920</v>
      </c>
      <c r="F13">
        <f t="shared" si="5"/>
        <v>30135708.794879995</v>
      </c>
      <c r="G13" s="6">
        <v>473330.54</v>
      </c>
      <c r="H13" s="10">
        <f t="shared" si="6"/>
        <v>1.5706633722197965</v>
      </c>
      <c r="J13" s="6" t="s">
        <v>43</v>
      </c>
      <c r="K13" s="25" t="s">
        <v>9</v>
      </c>
      <c r="L13" s="2">
        <v>202053</v>
      </c>
      <c r="M13" s="6" t="s">
        <v>44</v>
      </c>
      <c r="N13">
        <f>2957*2961*21</f>
        <v>183869217</v>
      </c>
      <c r="O13">
        <f t="shared" si="1"/>
        <v>31666875.897824995</v>
      </c>
      <c r="P13" s="6">
        <v>78262.710000000006</v>
      </c>
      <c r="Q13">
        <f t="shared" si="2"/>
        <v>0.2471437670470531</v>
      </c>
      <c r="S13" s="6" t="s">
        <v>43</v>
      </c>
      <c r="T13" s="25" t="s">
        <v>11</v>
      </c>
      <c r="U13" s="2">
        <v>202053</v>
      </c>
      <c r="V13" s="6" t="s">
        <v>45</v>
      </c>
      <c r="W13">
        <f>2948*2950*21</f>
        <v>182628600</v>
      </c>
      <c r="X13">
        <f t="shared" si="3"/>
        <v>31453210.634999998</v>
      </c>
      <c r="Y13" s="6">
        <v>327209.40000000002</v>
      </c>
      <c r="Z13">
        <f t="shared" si="4"/>
        <v>1.040305245137338</v>
      </c>
    </row>
    <row r="14" spans="1:27" x14ac:dyDescent="0.2">
      <c r="A14" s="6" t="s">
        <v>46</v>
      </c>
      <c r="B14" s="25" t="s">
        <v>80</v>
      </c>
      <c r="C14" s="2">
        <v>202054</v>
      </c>
      <c r="D14" t="s">
        <v>92</v>
      </c>
      <c r="E14">
        <f>5902*5884*35</f>
        <v>1215457880</v>
      </c>
      <c r="F14">
        <f t="shared" si="5"/>
        <v>52585569.720319994</v>
      </c>
      <c r="G14" s="9">
        <v>118675.34805759006</v>
      </c>
      <c r="H14">
        <f t="shared" si="6"/>
        <v>0.22568044558378494</v>
      </c>
      <c r="J14" s="6" t="s">
        <v>46</v>
      </c>
      <c r="K14" s="25" t="s">
        <v>9</v>
      </c>
      <c r="L14" s="2">
        <v>202054</v>
      </c>
      <c r="M14" s="6" t="s">
        <v>47</v>
      </c>
      <c r="N14">
        <f>2952*2957*24</f>
        <v>209497536</v>
      </c>
      <c r="O14">
        <f t="shared" si="1"/>
        <v>36080713.137599997</v>
      </c>
      <c r="P14" s="6">
        <v>258879.61</v>
      </c>
      <c r="Q14">
        <f t="shared" si="2"/>
        <v>0.71750136703983136</v>
      </c>
      <c r="S14" s="6" t="s">
        <v>46</v>
      </c>
      <c r="T14" s="25" t="s">
        <v>11</v>
      </c>
      <c r="U14" s="2">
        <v>202054</v>
      </c>
      <c r="V14" s="6" t="s">
        <v>48</v>
      </c>
      <c r="W14">
        <f>2951*2957*22</f>
        <v>191974354</v>
      </c>
      <c r="X14">
        <f t="shared" si="3"/>
        <v>33062783.117649999</v>
      </c>
      <c r="Y14" s="6">
        <v>73299.240000000005</v>
      </c>
      <c r="Z14">
        <f t="shared" si="4"/>
        <v>0.22169712615896048</v>
      </c>
    </row>
    <row r="15" spans="1:27" x14ac:dyDescent="0.2">
      <c r="A15" s="6" t="s">
        <v>49</v>
      </c>
      <c r="B15" s="25" t="s">
        <v>80</v>
      </c>
      <c r="C15" s="2">
        <v>202079</v>
      </c>
      <c r="D15" t="s">
        <v>93</v>
      </c>
      <c r="E15">
        <f>5899*5903*31</f>
        <v>1079475707</v>
      </c>
      <c r="F15">
        <f t="shared" si="5"/>
        <v>46702436.987647995</v>
      </c>
      <c r="G15">
        <v>45986.22</v>
      </c>
      <c r="H15">
        <f t="shared" si="6"/>
        <v>9.8466424808115641E-2</v>
      </c>
      <c r="J15" s="6" t="s">
        <v>49</v>
      </c>
      <c r="K15" s="25" t="s">
        <v>9</v>
      </c>
      <c r="L15" s="2">
        <v>202079</v>
      </c>
      <c r="M15" s="6" t="s">
        <v>50</v>
      </c>
      <c r="N15">
        <f>2954*2952*23</f>
        <v>200564784</v>
      </c>
      <c r="O15">
        <f t="shared" si="1"/>
        <v>34542269.924400002</v>
      </c>
      <c r="P15" s="6">
        <v>308368.32</v>
      </c>
      <c r="Q15">
        <f t="shared" si="2"/>
        <v>0.89272743416950284</v>
      </c>
      <c r="S15" s="6" t="s">
        <v>49</v>
      </c>
      <c r="T15" s="25" t="s">
        <v>11</v>
      </c>
      <c r="U15" s="2">
        <v>202079</v>
      </c>
      <c r="V15" s="6" t="s">
        <v>51</v>
      </c>
      <c r="W15">
        <f>2957*2956*23</f>
        <v>201040516</v>
      </c>
      <c r="X15">
        <f t="shared" si="3"/>
        <v>34624202.868099995</v>
      </c>
      <c r="Y15" s="6">
        <v>311866.71000000002</v>
      </c>
      <c r="Z15">
        <f t="shared" si="4"/>
        <v>0.90071881564479095</v>
      </c>
    </row>
    <row r="16" spans="1:27" x14ac:dyDescent="0.2">
      <c r="A16" s="6" t="s">
        <v>52</v>
      </c>
      <c r="B16" s="25" t="s">
        <v>80</v>
      </c>
      <c r="C16" s="2">
        <v>202082</v>
      </c>
      <c r="D16" t="s">
        <v>94</v>
      </c>
      <c r="E16">
        <f>5912*5902*26</f>
        <v>907208224</v>
      </c>
      <c r="F16">
        <f t="shared" si="5"/>
        <v>39249456.603135996</v>
      </c>
      <c r="G16">
        <v>14947.77</v>
      </c>
      <c r="H16">
        <f t="shared" si="6"/>
        <v>3.8084017700274829E-2</v>
      </c>
      <c r="J16" s="6" t="s">
        <v>52</v>
      </c>
      <c r="K16" s="25" t="s">
        <v>9</v>
      </c>
      <c r="L16" s="2">
        <v>202082</v>
      </c>
      <c r="M16" s="6" t="s">
        <v>53</v>
      </c>
      <c r="N16">
        <f>2949*2949*24</f>
        <v>208718424</v>
      </c>
      <c r="O16">
        <f t="shared" si="1"/>
        <v>35946530.573399998</v>
      </c>
      <c r="P16" s="6">
        <v>0</v>
      </c>
      <c r="Q16">
        <f t="shared" si="2"/>
        <v>0</v>
      </c>
      <c r="S16" s="6" t="s">
        <v>52</v>
      </c>
      <c r="T16" s="25" t="s">
        <v>11</v>
      </c>
      <c r="U16" s="2">
        <v>202082</v>
      </c>
      <c r="V16" s="6" t="s">
        <v>54</v>
      </c>
      <c r="W16">
        <f>2985*2953*24</f>
        <v>211552920</v>
      </c>
      <c r="X16">
        <f t="shared" si="3"/>
        <v>36434701.647</v>
      </c>
      <c r="Y16" s="6">
        <v>12486.91</v>
      </c>
      <c r="Z16">
        <f t="shared" si="4"/>
        <v>3.427202484318452E-2</v>
      </c>
    </row>
    <row r="17" spans="1:27" x14ac:dyDescent="0.2">
      <c r="A17" s="6" t="s">
        <v>55</v>
      </c>
      <c r="B17" s="25" t="s">
        <v>80</v>
      </c>
      <c r="C17" s="2">
        <v>202045</v>
      </c>
      <c r="D17" t="s">
        <v>95</v>
      </c>
      <c r="E17">
        <f>5896*5909*32</f>
        <v>1114862848</v>
      </c>
      <c r="F17">
        <f t="shared" si="5"/>
        <v>48233426.255871996</v>
      </c>
      <c r="G17">
        <v>215162.895952194</v>
      </c>
      <c r="H17">
        <f t="shared" si="6"/>
        <v>0.44608669268233836</v>
      </c>
      <c r="J17" s="6" t="s">
        <v>55</v>
      </c>
      <c r="K17" s="25" t="s">
        <v>9</v>
      </c>
      <c r="L17" s="2">
        <v>202045</v>
      </c>
      <c r="M17" s="6" t="s">
        <v>56</v>
      </c>
      <c r="N17">
        <f>2957*2275*16</f>
        <v>107634800</v>
      </c>
      <c r="O17">
        <f t="shared" si="1"/>
        <v>18537403.43</v>
      </c>
      <c r="P17" s="6">
        <v>97817.15</v>
      </c>
      <c r="Q17">
        <f t="shared" si="2"/>
        <v>0.52767449534867239</v>
      </c>
      <c r="S17" s="6" t="s">
        <v>55</v>
      </c>
      <c r="T17" s="25" t="s">
        <v>11</v>
      </c>
      <c r="U17" s="2">
        <v>202045</v>
      </c>
      <c r="V17" s="6" t="s">
        <v>57</v>
      </c>
      <c r="W17">
        <f>2953*2953*19</f>
        <v>165683971</v>
      </c>
      <c r="X17">
        <f t="shared" si="3"/>
        <v>28534921.905475002</v>
      </c>
      <c r="Y17" s="6">
        <v>98486.06</v>
      </c>
      <c r="Z17">
        <f t="shared" si="4"/>
        <v>0.34514220969745657</v>
      </c>
    </row>
    <row r="18" spans="1:27" x14ac:dyDescent="0.2">
      <c r="A18" s="6" t="s">
        <v>58</v>
      </c>
      <c r="B18" s="25" t="s">
        <v>80</v>
      </c>
      <c r="C18" s="2">
        <v>202085</v>
      </c>
      <c r="D18" t="s">
        <v>96</v>
      </c>
      <c r="E18">
        <f>5903*5903*24</f>
        <v>836289816</v>
      </c>
      <c r="F18">
        <f t="shared" si="5"/>
        <v>36181242.599423997</v>
      </c>
      <c r="G18">
        <v>24958.94</v>
      </c>
      <c r="H18">
        <f t="shared" si="6"/>
        <v>6.8983092361779033E-2</v>
      </c>
      <c r="J18" s="6" t="s">
        <v>58</v>
      </c>
      <c r="K18" s="25" t="s">
        <v>9</v>
      </c>
      <c r="L18" s="2">
        <v>202085</v>
      </c>
      <c r="M18" s="6" t="s">
        <v>59</v>
      </c>
      <c r="N18">
        <f>2958*2949*14</f>
        <v>122123988</v>
      </c>
      <c r="O18">
        <f t="shared" si="1"/>
        <v>21032803.833299998</v>
      </c>
      <c r="P18" s="6">
        <v>61692.23</v>
      </c>
      <c r="Q18">
        <f t="shared" si="2"/>
        <v>0.29331434120222399</v>
      </c>
      <c r="S18" s="6" t="s">
        <v>58</v>
      </c>
      <c r="T18" s="25" t="s">
        <v>11</v>
      </c>
      <c r="U18" s="2">
        <v>202085</v>
      </c>
      <c r="V18" s="6" t="s">
        <v>60</v>
      </c>
      <c r="W18">
        <f>2950*2954*18</f>
        <v>156857400</v>
      </c>
      <c r="X18">
        <f t="shared" si="3"/>
        <v>27014765.715</v>
      </c>
      <c r="Y18" s="6">
        <v>28025.85</v>
      </c>
      <c r="Z18">
        <f t="shared" si="4"/>
        <v>0.10374270980421123</v>
      </c>
    </row>
    <row r="19" spans="1:27" x14ac:dyDescent="0.2">
      <c r="A19" s="6" t="s">
        <v>61</v>
      </c>
      <c r="B19" s="25" t="s">
        <v>80</v>
      </c>
      <c r="C19" s="2">
        <v>202090</v>
      </c>
      <c r="D19" t="s">
        <v>97</v>
      </c>
      <c r="E19">
        <f>5888*5909*21</f>
        <v>730636032</v>
      </c>
      <c r="F19">
        <f t="shared" si="5"/>
        <v>31610237.288447995</v>
      </c>
      <c r="G19">
        <v>36775.360000000001</v>
      </c>
      <c r="H19">
        <f t="shared" si="6"/>
        <v>0.11634003144114202</v>
      </c>
      <c r="J19" s="6" t="s">
        <v>61</v>
      </c>
      <c r="K19" s="25" t="s">
        <v>9</v>
      </c>
      <c r="L19" s="2">
        <v>202090</v>
      </c>
      <c r="M19" s="6" t="s">
        <v>62</v>
      </c>
      <c r="N19">
        <f>2951*2950*22</f>
        <v>191519900</v>
      </c>
      <c r="O19">
        <f t="shared" si="1"/>
        <v>32984514.7775</v>
      </c>
      <c r="P19" s="6">
        <v>105051.31</v>
      </c>
      <c r="Q19">
        <f t="shared" si="2"/>
        <v>0.3184867526735895</v>
      </c>
      <c r="S19" s="6" t="s">
        <v>61</v>
      </c>
      <c r="T19" s="25" t="s">
        <v>11</v>
      </c>
      <c r="U19" s="2">
        <v>202090</v>
      </c>
      <c r="V19" s="6" t="s">
        <v>63</v>
      </c>
      <c r="W19">
        <f>2950*2957*20</f>
        <v>174463000</v>
      </c>
      <c r="X19">
        <f t="shared" si="3"/>
        <v>30046890.174999997</v>
      </c>
      <c r="Y19" s="6">
        <v>124372.53</v>
      </c>
      <c r="Z19">
        <f t="shared" si="4"/>
        <v>0.41392812792147804</v>
      </c>
    </row>
    <row r="20" spans="1:27" x14ac:dyDescent="0.2">
      <c r="A20" s="6" t="s">
        <v>64</v>
      </c>
      <c r="B20" s="25" t="s">
        <v>80</v>
      </c>
      <c r="C20" s="2">
        <v>202087</v>
      </c>
      <c r="D20" t="s">
        <v>98</v>
      </c>
      <c r="E20">
        <f>5891*5901*27</f>
        <v>938595357</v>
      </c>
      <c r="F20">
        <f t="shared" si="5"/>
        <v>40607389.525247991</v>
      </c>
      <c r="G20" s="9">
        <v>127076.01430725565</v>
      </c>
      <c r="H20">
        <f t="shared" si="6"/>
        <v>0.312938151880571</v>
      </c>
      <c r="J20" s="6" t="s">
        <v>64</v>
      </c>
      <c r="K20" s="25" t="s">
        <v>9</v>
      </c>
      <c r="L20" s="2">
        <v>202087</v>
      </c>
      <c r="M20" s="6" t="s">
        <v>65</v>
      </c>
      <c r="N20">
        <f>2954*2958*16</f>
        <v>139806912</v>
      </c>
      <c r="O20">
        <f t="shared" si="1"/>
        <v>24078245.419199996</v>
      </c>
      <c r="P20" s="6">
        <v>99040.56</v>
      </c>
      <c r="Q20">
        <f t="shared" si="2"/>
        <v>0.4113279779141425</v>
      </c>
      <c r="S20" s="6" t="s">
        <v>64</v>
      </c>
      <c r="T20" s="25" t="s">
        <v>11</v>
      </c>
      <c r="U20" s="2">
        <v>202087</v>
      </c>
      <c r="V20" s="6" t="s">
        <v>66</v>
      </c>
      <c r="W20">
        <f>2945*2957*20</f>
        <v>174167300</v>
      </c>
      <c r="X20">
        <f t="shared" si="3"/>
        <v>29995963.2425</v>
      </c>
      <c r="Y20" s="6">
        <v>45423.03</v>
      </c>
      <c r="Z20">
        <f t="shared" si="4"/>
        <v>0.15143047627036041</v>
      </c>
    </row>
    <row r="21" spans="1:27" x14ac:dyDescent="0.2">
      <c r="A21" s="6" t="s">
        <v>67</v>
      </c>
      <c r="B21" s="25" t="s">
        <v>80</v>
      </c>
      <c r="C21" s="2">
        <v>203037</v>
      </c>
      <c r="D21" t="s">
        <v>99</v>
      </c>
      <c r="E21">
        <f>5909*5837*20</f>
        <v>689816660</v>
      </c>
      <c r="F21">
        <f t="shared" si="5"/>
        <v>29844227.978239998</v>
      </c>
      <c r="G21">
        <v>61767.17</v>
      </c>
      <c r="H21">
        <f t="shared" si="6"/>
        <v>0.20696521298870801</v>
      </c>
      <c r="J21" s="6" t="s">
        <v>67</v>
      </c>
      <c r="K21" s="25" t="s">
        <v>9</v>
      </c>
      <c r="L21" s="2">
        <v>203037</v>
      </c>
      <c r="M21" s="6" t="s">
        <v>68</v>
      </c>
      <c r="N21">
        <f>2955*2954*17</f>
        <v>148394190</v>
      </c>
      <c r="O21">
        <f t="shared" si="1"/>
        <v>25557189.372749995</v>
      </c>
      <c r="P21" s="6">
        <v>60347.47</v>
      </c>
      <c r="Q21">
        <f t="shared" si="2"/>
        <v>0.23612717783569998</v>
      </c>
      <c r="S21" s="6" t="s">
        <v>67</v>
      </c>
      <c r="T21" s="25" t="s">
        <v>11</v>
      </c>
      <c r="U21" s="2">
        <v>203037</v>
      </c>
      <c r="V21" s="6" t="s">
        <v>69</v>
      </c>
      <c r="W21">
        <f>2951*2962*17</f>
        <v>148594654</v>
      </c>
      <c r="X21">
        <f t="shared" si="3"/>
        <v>25591714.285149999</v>
      </c>
      <c r="Y21" s="6">
        <v>91157.7</v>
      </c>
      <c r="Z21">
        <f t="shared" si="4"/>
        <v>0.35620005359662721</v>
      </c>
    </row>
    <row r="22" spans="1:27" x14ac:dyDescent="0.2">
      <c r="A22" s="7" t="s">
        <v>70</v>
      </c>
      <c r="B22" s="27" t="s">
        <v>80</v>
      </c>
      <c r="C22" s="7">
        <v>202086</v>
      </c>
      <c r="D22" s="3" t="s">
        <v>100</v>
      </c>
      <c r="E22" s="3">
        <f>5910*5909*20</f>
        <v>698443800</v>
      </c>
      <c r="F22" s="3">
        <f t="shared" si="5"/>
        <v>30217472.563200001</v>
      </c>
      <c r="G22" s="3">
        <v>191267.23</v>
      </c>
      <c r="H22" s="3">
        <f t="shared" si="6"/>
        <v>0.63296898706522731</v>
      </c>
      <c r="I22" s="19"/>
      <c r="J22" s="7" t="s">
        <v>70</v>
      </c>
      <c r="K22" s="34" t="s">
        <v>9</v>
      </c>
      <c r="L22" s="33">
        <v>202086</v>
      </c>
      <c r="M22" s="35" t="s">
        <v>71</v>
      </c>
      <c r="N22" s="35">
        <f>2959*2959*15</f>
        <v>131335215</v>
      </c>
      <c r="O22" s="35">
        <f t="shared" si="1"/>
        <v>22619207.403374996</v>
      </c>
      <c r="P22" s="35">
        <v>203465.52</v>
      </c>
      <c r="Q22" s="3">
        <f t="shared" si="2"/>
        <v>0.89952541824980592</v>
      </c>
      <c r="R22" s="22"/>
      <c r="S22" s="7" t="s">
        <v>70</v>
      </c>
      <c r="T22" s="34" t="s">
        <v>11</v>
      </c>
      <c r="U22" s="33">
        <v>202086</v>
      </c>
      <c r="V22" s="35" t="s">
        <v>72</v>
      </c>
      <c r="W22" s="35">
        <f>2953*2954*17</f>
        <v>148293754</v>
      </c>
      <c r="X22" s="35">
        <f t="shared" si="3"/>
        <v>25539891.782649998</v>
      </c>
      <c r="Y22" s="35">
        <v>131921.01999999999</v>
      </c>
      <c r="Z22" s="3">
        <f t="shared" si="4"/>
        <v>0.51652928337628212</v>
      </c>
      <c r="AA22" s="19"/>
    </row>
    <row r="23" spans="1:27" x14ac:dyDescent="0.2">
      <c r="A23" t="s">
        <v>296</v>
      </c>
      <c r="B23" s="25" t="s">
        <v>80</v>
      </c>
      <c r="C23" s="2">
        <v>202056</v>
      </c>
      <c r="D23" t="s">
        <v>106</v>
      </c>
      <c r="E23">
        <f>2953*2948*19</f>
        <v>165403436</v>
      </c>
      <c r="F23">
        <f>E23*0.415*0.415</f>
        <v>28486606.765099999</v>
      </c>
      <c r="G23">
        <v>215036.11</v>
      </c>
      <c r="H23">
        <f>G23/F23*100</f>
        <v>0.75486740759678239</v>
      </c>
      <c r="J23" t="s">
        <v>296</v>
      </c>
      <c r="K23" s="25" t="s">
        <v>9</v>
      </c>
      <c r="L23" s="2">
        <v>202056</v>
      </c>
      <c r="M23" t="s">
        <v>15</v>
      </c>
      <c r="N23">
        <f>2946*2949*24</f>
        <v>208506096</v>
      </c>
      <c r="O23">
        <f t="shared" ref="O23" si="7">N23*0.415*0.415</f>
        <v>35909962.383599997</v>
      </c>
      <c r="P23">
        <v>213134.64</v>
      </c>
      <c r="Q23">
        <f t="shared" ref="Q23" si="8">P23/O23*100</f>
        <v>0.59352509959001842</v>
      </c>
      <c r="S23" t="s">
        <v>296</v>
      </c>
      <c r="T23" s="25" t="s">
        <v>11</v>
      </c>
      <c r="U23" s="2">
        <v>202056</v>
      </c>
      <c r="V23" t="s">
        <v>16</v>
      </c>
      <c r="W23">
        <f>2952*2956*33</f>
        <v>287961696</v>
      </c>
      <c r="X23">
        <f t="shared" ref="X23" si="9">W23*0.415*0.415</f>
        <v>49594203.09359999</v>
      </c>
      <c r="Y23">
        <v>253489.73</v>
      </c>
      <c r="Z23">
        <f t="shared" ref="Z23" si="10">Y23/X23*100</f>
        <v>0.5111277411224544</v>
      </c>
    </row>
    <row r="24" spans="1:27" x14ac:dyDescent="0.2">
      <c r="A24" s="6" t="s">
        <v>73</v>
      </c>
      <c r="B24" s="25" t="s">
        <v>279</v>
      </c>
      <c r="C24" s="2">
        <v>202072</v>
      </c>
      <c r="D24" t="s">
        <v>280</v>
      </c>
      <c r="E24">
        <f>2943*2960*17</f>
        <v>148091760</v>
      </c>
      <c r="F24">
        <f>E24*0.415*0.415</f>
        <v>25505103.365999997</v>
      </c>
      <c r="G24">
        <v>366876.5</v>
      </c>
      <c r="H24">
        <f>G24/F24*100</f>
        <v>1.4384434939756834</v>
      </c>
      <c r="J24" s="6" t="s">
        <v>73</v>
      </c>
      <c r="K24" s="25" t="s">
        <v>9</v>
      </c>
      <c r="L24" s="2">
        <v>202072</v>
      </c>
      <c r="M24" s="6" t="s">
        <v>107</v>
      </c>
      <c r="N24">
        <f>2946*2952*16</f>
        <v>139145472</v>
      </c>
      <c r="O24">
        <f t="shared" si="1"/>
        <v>23964328.915199995</v>
      </c>
      <c r="P24" s="6">
        <v>502599.82</v>
      </c>
      <c r="Q24">
        <f t="shared" si="2"/>
        <v>2.0972830984689628</v>
      </c>
      <c r="S24" s="6" t="s">
        <v>73</v>
      </c>
      <c r="T24" s="25" t="s">
        <v>11</v>
      </c>
      <c r="U24" s="2">
        <v>202072</v>
      </c>
      <c r="V24" s="6" t="s">
        <v>108</v>
      </c>
      <c r="W24">
        <f>2956*2956*19</f>
        <v>166020784</v>
      </c>
      <c r="X24">
        <f t="shared" si="3"/>
        <v>28592929.5244</v>
      </c>
      <c r="Y24" s="6">
        <v>511336.87</v>
      </c>
      <c r="Z24">
        <f t="shared" si="4"/>
        <v>1.7883332645703429</v>
      </c>
    </row>
    <row r="25" spans="1:27" x14ac:dyDescent="0.2">
      <c r="A25" s="6" t="s">
        <v>74</v>
      </c>
      <c r="B25" s="25" t="s">
        <v>80</v>
      </c>
      <c r="C25" s="2">
        <v>202073</v>
      </c>
      <c r="D25" t="s">
        <v>101</v>
      </c>
      <c r="E25">
        <f>5896*5905*37</f>
        <v>1288187560</v>
      </c>
      <c r="F25">
        <f t="shared" si="5"/>
        <v>55732146.595839992</v>
      </c>
      <c r="G25">
        <v>96177.04</v>
      </c>
      <c r="H25">
        <f t="shared" si="6"/>
        <v>0.17257013388961934</v>
      </c>
      <c r="J25" s="6" t="s">
        <v>74</v>
      </c>
      <c r="K25" s="25" t="s">
        <v>9</v>
      </c>
      <c r="L25" s="2">
        <v>202073</v>
      </c>
      <c r="M25" s="6" t="s">
        <v>109</v>
      </c>
      <c r="N25">
        <f>2952*2953*16</f>
        <v>139476096</v>
      </c>
      <c r="O25">
        <f t="shared" si="1"/>
        <v>24021270.633599997</v>
      </c>
      <c r="P25" s="6">
        <v>183511.87</v>
      </c>
      <c r="Q25">
        <f t="shared" si="2"/>
        <v>0.76395571574515675</v>
      </c>
      <c r="S25" s="6" t="s">
        <v>74</v>
      </c>
      <c r="T25" s="25" t="s">
        <v>11</v>
      </c>
      <c r="U25" s="2">
        <v>202073</v>
      </c>
      <c r="V25" s="6" t="s">
        <v>110</v>
      </c>
      <c r="W25">
        <f>2952*2950*20</f>
        <v>174168000</v>
      </c>
      <c r="X25">
        <f t="shared" si="3"/>
        <v>29996083.799999997</v>
      </c>
      <c r="Y25" s="6">
        <v>253712.82</v>
      </c>
      <c r="Z25">
        <f t="shared" si="4"/>
        <v>0.8458198133184307</v>
      </c>
    </row>
    <row r="26" spans="1:27" x14ac:dyDescent="0.2">
      <c r="A26" s="6" t="s">
        <v>75</v>
      </c>
      <c r="B26" s="25" t="s">
        <v>80</v>
      </c>
      <c r="C26" s="2">
        <v>202077</v>
      </c>
      <c r="D26" t="s">
        <v>102</v>
      </c>
      <c r="E26">
        <f>5899*5882*33</f>
        <v>1145031294</v>
      </c>
      <c r="F26">
        <f t="shared" si="5"/>
        <v>49538633.903615996</v>
      </c>
      <c r="G26">
        <v>621310.16953302245</v>
      </c>
      <c r="H26">
        <f t="shared" si="6"/>
        <v>1.2541931833281152</v>
      </c>
      <c r="J26" s="6" t="s">
        <v>75</v>
      </c>
      <c r="K26" s="25" t="s">
        <v>9</v>
      </c>
      <c r="L26" s="2">
        <v>202077</v>
      </c>
      <c r="M26" s="6" t="s">
        <v>111</v>
      </c>
      <c r="N26">
        <f>2955*2955*15</f>
        <v>130980375</v>
      </c>
      <c r="O26">
        <f t="shared" si="1"/>
        <v>22558095.084374998</v>
      </c>
      <c r="P26" s="6">
        <v>332268.61</v>
      </c>
      <c r="Q26">
        <f t="shared" si="2"/>
        <v>1.4729462251010188</v>
      </c>
      <c r="S26" s="6" t="s">
        <v>75</v>
      </c>
      <c r="T26" s="25" t="s">
        <v>11</v>
      </c>
      <c r="U26" s="2">
        <v>202077</v>
      </c>
      <c r="V26" s="6" t="s">
        <v>112</v>
      </c>
      <c r="W26">
        <f>2958*2959*25</f>
        <v>218818050</v>
      </c>
      <c r="X26">
        <f t="shared" si="3"/>
        <v>37685938.661249995</v>
      </c>
      <c r="Y26" s="6">
        <v>523113.17</v>
      </c>
      <c r="Z26">
        <f t="shared" si="4"/>
        <v>1.3880858181671971</v>
      </c>
    </row>
    <row r="27" spans="1:27" x14ac:dyDescent="0.2">
      <c r="A27" s="6" t="s">
        <v>76</v>
      </c>
      <c r="B27" s="25" t="s">
        <v>80</v>
      </c>
      <c r="C27" s="2">
        <v>202080</v>
      </c>
      <c r="D27" t="s">
        <v>103</v>
      </c>
      <c r="E27">
        <f>5905*5884*20</f>
        <v>694900400</v>
      </c>
      <c r="F27">
        <f t="shared" si="5"/>
        <v>30064170.905599996</v>
      </c>
      <c r="G27">
        <v>377878.01</v>
      </c>
      <c r="H27">
        <f t="shared" si="6"/>
        <v>1.2569048093377269</v>
      </c>
      <c r="J27" s="6" t="s">
        <v>76</v>
      </c>
      <c r="K27" s="25" t="s">
        <v>9</v>
      </c>
      <c r="L27" s="2">
        <v>202080</v>
      </c>
      <c r="M27" s="6" t="s">
        <v>113</v>
      </c>
      <c r="N27">
        <f>2945*2950*18</f>
        <v>156379500</v>
      </c>
      <c r="O27">
        <f t="shared" si="1"/>
        <v>26932459.387499999</v>
      </c>
      <c r="P27" s="6">
        <v>66981.149999999994</v>
      </c>
      <c r="Q27">
        <f t="shared" si="2"/>
        <v>0.24870045856668979</v>
      </c>
      <c r="S27" s="6" t="s">
        <v>76</v>
      </c>
      <c r="T27" s="25" t="s">
        <v>11</v>
      </c>
      <c r="U27" s="2">
        <v>202080</v>
      </c>
      <c r="V27" s="6" t="s">
        <v>114</v>
      </c>
      <c r="W27">
        <f>2952*2950*24</f>
        <v>209001600</v>
      </c>
      <c r="X27">
        <f t="shared" si="3"/>
        <v>35995300.559999995</v>
      </c>
      <c r="Y27" s="6">
        <v>14165.15</v>
      </c>
      <c r="Z27">
        <f t="shared" si="4"/>
        <v>3.9352776000267965E-2</v>
      </c>
    </row>
    <row r="28" spans="1:27" x14ac:dyDescent="0.2">
      <c r="A28" s="6" t="s">
        <v>77</v>
      </c>
      <c r="B28" s="25" t="s">
        <v>80</v>
      </c>
      <c r="C28" s="2">
        <v>202078</v>
      </c>
      <c r="D28" t="s">
        <v>104</v>
      </c>
      <c r="E28">
        <f>5900*5898*46</f>
        <v>1600717200</v>
      </c>
      <c r="F28">
        <f t="shared" si="5"/>
        <v>69253428.940799996</v>
      </c>
      <c r="G28">
        <v>124266.70993956944</v>
      </c>
      <c r="H28">
        <f t="shared" si="6"/>
        <v>0.17943762762389215</v>
      </c>
      <c r="J28" s="6" t="s">
        <v>77</v>
      </c>
      <c r="K28" s="25" t="s">
        <v>9</v>
      </c>
      <c r="L28" s="2">
        <v>202078</v>
      </c>
      <c r="M28" s="6" t="s">
        <v>115</v>
      </c>
      <c r="N28">
        <f>2944*2960*25</f>
        <v>217856000</v>
      </c>
      <c r="O28">
        <f t="shared" si="1"/>
        <v>37520249.600000001</v>
      </c>
      <c r="P28" s="6">
        <v>739300.12</v>
      </c>
      <c r="Q28">
        <f t="shared" si="2"/>
        <v>1.9704029900696609</v>
      </c>
      <c r="S28" s="6" t="s">
        <v>77</v>
      </c>
      <c r="T28" s="25" t="s">
        <v>11</v>
      </c>
      <c r="U28" s="2">
        <v>202078</v>
      </c>
      <c r="V28" s="6" t="s">
        <v>116</v>
      </c>
      <c r="W28">
        <f>2950*2955*23</f>
        <v>200496750</v>
      </c>
      <c r="X28">
        <f t="shared" si="3"/>
        <v>34530552.768749997</v>
      </c>
      <c r="Y28" s="6">
        <v>811003.97</v>
      </c>
      <c r="Z28">
        <f t="shared" si="4"/>
        <v>2.3486562043511654</v>
      </c>
    </row>
    <row r="29" spans="1:27" x14ac:dyDescent="0.2">
      <c r="A29" s="6" t="s">
        <v>78</v>
      </c>
      <c r="B29" s="25" t="s">
        <v>80</v>
      </c>
      <c r="C29" s="2">
        <v>203040</v>
      </c>
      <c r="D29" t="s">
        <v>105</v>
      </c>
      <c r="E29">
        <f>5909*5902*20</f>
        <v>697498360</v>
      </c>
      <c r="F29">
        <f t="shared" si="5"/>
        <v>30176569.047039997</v>
      </c>
      <c r="G29">
        <v>1887.78</v>
      </c>
      <c r="H29">
        <f t="shared" si="6"/>
        <v>6.2557807584330783E-3</v>
      </c>
      <c r="J29" s="6" t="s">
        <v>78</v>
      </c>
      <c r="K29" s="25" t="s">
        <v>9</v>
      </c>
      <c r="L29" s="2">
        <v>203040</v>
      </c>
      <c r="M29" s="6" t="s">
        <v>117</v>
      </c>
      <c r="N29">
        <f>2948*2956*15</f>
        <v>130714320</v>
      </c>
      <c r="O29">
        <f t="shared" si="1"/>
        <v>22512273.761999998</v>
      </c>
      <c r="P29" s="6">
        <v>2961.39</v>
      </c>
      <c r="Q29">
        <f t="shared" si="2"/>
        <v>1.3154557515193031E-2</v>
      </c>
      <c r="S29" s="6" t="s">
        <v>78</v>
      </c>
      <c r="T29" s="25" t="s">
        <v>11</v>
      </c>
      <c r="U29" s="2">
        <v>203040</v>
      </c>
      <c r="V29" s="6" t="s">
        <v>118</v>
      </c>
      <c r="W29">
        <f>2944*2947*16</f>
        <v>138815488</v>
      </c>
      <c r="X29">
        <f t="shared" si="3"/>
        <v>23907497.420799997</v>
      </c>
      <c r="Y29" s="6">
        <v>10188.5</v>
      </c>
      <c r="Z29">
        <f t="shared" si="4"/>
        <v>4.2616338384024267E-2</v>
      </c>
    </row>
    <row r="30" spans="1:27" x14ac:dyDescent="0.2">
      <c r="A30" s="6" t="s">
        <v>79</v>
      </c>
      <c r="B30" s="25" t="s">
        <v>80</v>
      </c>
      <c r="C30" s="2">
        <v>204067</v>
      </c>
      <c r="D30" t="s">
        <v>121</v>
      </c>
      <c r="E30">
        <f>2950*2952*25</f>
        <v>217710000</v>
      </c>
      <c r="F30">
        <f>E30*0.415*0.415</f>
        <v>37495104.75</v>
      </c>
      <c r="G30">
        <v>51520.9</v>
      </c>
      <c r="H30">
        <f t="shared" si="6"/>
        <v>0.13740700377693973</v>
      </c>
      <c r="J30" s="6" t="s">
        <v>79</v>
      </c>
      <c r="K30" s="25" t="s">
        <v>9</v>
      </c>
      <c r="L30" s="2">
        <v>204067</v>
      </c>
      <c r="M30" s="6" t="s">
        <v>119</v>
      </c>
      <c r="N30">
        <f>2947*2941*17</f>
        <v>147341159</v>
      </c>
      <c r="O30">
        <f t="shared" si="1"/>
        <v>25375831.108774997</v>
      </c>
      <c r="P30" s="6">
        <v>29899.72</v>
      </c>
      <c r="Q30">
        <f t="shared" si="2"/>
        <v>0.11782754965476042</v>
      </c>
      <c r="S30" s="6" t="s">
        <v>79</v>
      </c>
      <c r="T30" s="25" t="s">
        <v>11</v>
      </c>
      <c r="U30" s="2">
        <v>204067</v>
      </c>
      <c r="V30" s="6" t="s">
        <v>120</v>
      </c>
      <c r="W30">
        <f>2944*2954*24</f>
        <v>208717824</v>
      </c>
      <c r="X30">
        <f t="shared" si="3"/>
        <v>35946427.238399997</v>
      </c>
      <c r="Y30" s="6">
        <v>154246.43</v>
      </c>
      <c r="Z30">
        <f t="shared" si="4"/>
        <v>0.4291008643975201</v>
      </c>
    </row>
    <row r="31" spans="1:27" s="8" customFormat="1" x14ac:dyDescent="0.2">
      <c r="M31" s="20"/>
      <c r="P31" s="20"/>
    </row>
    <row r="32" spans="1:27" x14ac:dyDescent="0.2">
      <c r="O32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8C1F3-03E6-8543-B263-7367FDC4B1B3}">
  <dimension ref="A1:AA31"/>
  <sheetViews>
    <sheetView topLeftCell="O1" workbookViewId="0">
      <selection activeCell="G22" sqref="G22"/>
    </sheetView>
  </sheetViews>
  <sheetFormatPr baseColWidth="10" defaultRowHeight="16" x14ac:dyDescent="0.2"/>
  <cols>
    <col min="4" max="4" width="18.1640625" customWidth="1"/>
    <col min="5" max="5" width="20.33203125" customWidth="1"/>
    <col min="6" max="6" width="20.1640625" customWidth="1"/>
    <col min="7" max="7" width="16.5" customWidth="1"/>
    <col min="8" max="8" width="17.33203125" customWidth="1"/>
    <col min="9" max="9" width="10.83203125" style="8"/>
    <col min="13" max="13" width="14.1640625" customWidth="1"/>
    <col min="14" max="14" width="12" customWidth="1"/>
    <col min="15" max="15" width="18.33203125" customWidth="1"/>
    <col min="16" max="16" width="19.1640625" customWidth="1"/>
    <col min="18" max="18" width="10.83203125" style="8"/>
    <col min="21" max="21" width="15.6640625" customWidth="1"/>
    <col min="22" max="22" width="17.5" customWidth="1"/>
    <col min="23" max="23" width="17.33203125" customWidth="1"/>
    <col min="24" max="24" width="19.1640625" customWidth="1"/>
    <col min="25" max="25" width="20.83203125" customWidth="1"/>
    <col min="27" max="27" width="10.83203125" style="8"/>
  </cols>
  <sheetData>
    <row r="1" spans="1:27" x14ac:dyDescent="0.2">
      <c r="A1" s="11" t="s">
        <v>0</v>
      </c>
      <c r="B1" s="11" t="s">
        <v>1</v>
      </c>
      <c r="C1" s="11" t="s">
        <v>2</v>
      </c>
      <c r="D1" s="11" t="s">
        <v>122</v>
      </c>
      <c r="E1" s="11" t="s">
        <v>4</v>
      </c>
      <c r="F1" s="11" t="s">
        <v>5</v>
      </c>
      <c r="G1" s="11" t="s">
        <v>206</v>
      </c>
      <c r="H1" s="11" t="s">
        <v>207</v>
      </c>
      <c r="I1" s="13"/>
      <c r="J1" s="11" t="s">
        <v>0</v>
      </c>
      <c r="K1" s="11" t="s">
        <v>1</v>
      </c>
      <c r="L1" s="11" t="s">
        <v>2</v>
      </c>
      <c r="M1" s="11" t="s">
        <v>122</v>
      </c>
      <c r="N1" s="11" t="s">
        <v>4</v>
      </c>
      <c r="O1" s="11" t="s">
        <v>5</v>
      </c>
      <c r="P1" s="11" t="s">
        <v>206</v>
      </c>
      <c r="Q1" s="11" t="s">
        <v>207</v>
      </c>
      <c r="R1" s="15"/>
      <c r="S1" s="11" t="s">
        <v>0</v>
      </c>
      <c r="T1" s="11" t="s">
        <v>1</v>
      </c>
      <c r="U1" s="11" t="s">
        <v>2</v>
      </c>
      <c r="V1" s="11" t="s">
        <v>122</v>
      </c>
      <c r="W1" s="11" t="s">
        <v>4</v>
      </c>
      <c r="X1" s="11" t="s">
        <v>5</v>
      </c>
      <c r="Y1" s="11" t="s">
        <v>206</v>
      </c>
      <c r="Z1" s="11" t="s">
        <v>207</v>
      </c>
    </row>
    <row r="2" spans="1:27" x14ac:dyDescent="0.2">
      <c r="A2" s="11" t="s">
        <v>8</v>
      </c>
      <c r="B2" s="25" t="s">
        <v>80</v>
      </c>
      <c r="C2" s="1">
        <v>203015</v>
      </c>
      <c r="D2" t="s">
        <v>208</v>
      </c>
      <c r="E2">
        <f>2954*2958*23</f>
        <v>200972436</v>
      </c>
      <c r="F2">
        <f>E2*0.415*0.415</f>
        <v>34612477.790100001</v>
      </c>
      <c r="G2">
        <v>25953.599999999999</v>
      </c>
      <c r="H2">
        <f t="shared" ref="H2:H27" si="0">G2/F2*100</f>
        <v>7.4983363391058211E-2</v>
      </c>
      <c r="J2" s="11" t="s">
        <v>8</v>
      </c>
      <c r="K2" s="25" t="s">
        <v>9</v>
      </c>
      <c r="L2">
        <v>203015</v>
      </c>
      <c r="M2" t="s">
        <v>209</v>
      </c>
      <c r="N2">
        <f>2960*2957*26</f>
        <v>227570720</v>
      </c>
      <c r="O2">
        <f>N2*0.415*0.415</f>
        <v>39193367.251999997</v>
      </c>
      <c r="P2">
        <v>45763.6</v>
      </c>
      <c r="Q2">
        <f t="shared" ref="Q2:Q30" si="1">P2/O2*100</f>
        <v>0.11676363427963626</v>
      </c>
      <c r="R2" s="13"/>
      <c r="S2" s="11" t="s">
        <v>8</v>
      </c>
      <c r="T2" s="25" t="s">
        <v>11</v>
      </c>
      <c r="U2">
        <v>203015</v>
      </c>
      <c r="V2" t="s">
        <v>210</v>
      </c>
      <c r="W2">
        <f>2957*2958*32</f>
        <v>279897792</v>
      </c>
      <c r="X2">
        <f t="shared" ref="X2:X30" si="2">W2*0.415*0.415</f>
        <v>48205397.227199994</v>
      </c>
      <c r="Y2">
        <v>28419.9</v>
      </c>
      <c r="Z2">
        <f t="shared" ref="Z2:Z30" si="3">Y2/X2*100</f>
        <v>5.8955846512481425E-2</v>
      </c>
    </row>
    <row r="3" spans="1:27" x14ac:dyDescent="0.2">
      <c r="A3" s="11" t="s">
        <v>13</v>
      </c>
      <c r="B3" s="25" t="s">
        <v>80</v>
      </c>
      <c r="C3" s="1">
        <v>203016</v>
      </c>
      <c r="D3" t="s">
        <v>211</v>
      </c>
      <c r="E3">
        <f>2950*2943*36</f>
        <v>312546600</v>
      </c>
      <c r="F3">
        <f t="shared" ref="F3:F30" si="4">E3*0.415*0.415</f>
        <v>53828338.184999995</v>
      </c>
      <c r="G3">
        <v>11017.32</v>
      </c>
      <c r="H3">
        <f t="shared" si="0"/>
        <v>2.0467509069544577E-2</v>
      </c>
      <c r="J3" s="11" t="s">
        <v>13</v>
      </c>
      <c r="K3" s="32" t="s">
        <v>9</v>
      </c>
      <c r="L3">
        <v>203016</v>
      </c>
      <c r="M3" t="s">
        <v>212</v>
      </c>
      <c r="N3">
        <f>2954*2958*28</f>
        <v>244662096</v>
      </c>
      <c r="O3">
        <f t="shared" ref="O3:O30" si="5">N3*0.415*0.415</f>
        <v>42136929.483599991</v>
      </c>
      <c r="P3">
        <v>7002.85</v>
      </c>
      <c r="Q3">
        <f t="shared" si="1"/>
        <v>1.6619269808744758E-2</v>
      </c>
      <c r="R3" s="13"/>
      <c r="S3" s="11" t="s">
        <v>13</v>
      </c>
      <c r="T3" s="25" t="s">
        <v>11</v>
      </c>
      <c r="U3">
        <v>203016</v>
      </c>
      <c r="V3" t="s">
        <v>213</v>
      </c>
      <c r="W3">
        <f>2953*2950*26</f>
        <v>226495100</v>
      </c>
      <c r="X3">
        <f t="shared" si="2"/>
        <v>39008118.597499996</v>
      </c>
      <c r="Y3">
        <v>6616.55</v>
      </c>
      <c r="Z3">
        <f t="shared" si="3"/>
        <v>1.6961981858884242E-2</v>
      </c>
    </row>
    <row r="4" spans="1:27" x14ac:dyDescent="0.2">
      <c r="A4" s="11" t="s">
        <v>17</v>
      </c>
      <c r="B4" s="25" t="s">
        <v>80</v>
      </c>
      <c r="C4" s="1">
        <v>203013</v>
      </c>
      <c r="D4" t="s">
        <v>217</v>
      </c>
      <c r="E4">
        <f>2945*2952*26</f>
        <v>226034640</v>
      </c>
      <c r="F4">
        <f t="shared" si="4"/>
        <v>38928815.873999998</v>
      </c>
      <c r="G4">
        <v>162358.25</v>
      </c>
      <c r="H4">
        <f t="shared" si="0"/>
        <v>0.41706444533401998</v>
      </c>
      <c r="J4" s="11" t="s">
        <v>17</v>
      </c>
      <c r="K4" s="25" t="s">
        <v>9</v>
      </c>
      <c r="L4">
        <v>203013</v>
      </c>
      <c r="M4" t="s">
        <v>218</v>
      </c>
      <c r="N4">
        <f>2957*2955*16</f>
        <v>139806960</v>
      </c>
      <c r="O4">
        <f t="shared" si="5"/>
        <v>24078253.685999997</v>
      </c>
      <c r="P4">
        <v>108579.43</v>
      </c>
      <c r="Q4">
        <f t="shared" si="1"/>
        <v>0.45094395721535308</v>
      </c>
      <c r="R4" s="13"/>
      <c r="S4" s="11" t="s">
        <v>17</v>
      </c>
      <c r="T4" s="25" t="s">
        <v>11</v>
      </c>
      <c r="U4">
        <v>203013</v>
      </c>
      <c r="V4" t="s">
        <v>219</v>
      </c>
      <c r="W4">
        <f>2949*2946*18</f>
        <v>156379572</v>
      </c>
      <c r="X4">
        <f t="shared" si="2"/>
        <v>26932471.787699997</v>
      </c>
      <c r="Y4">
        <v>27005.22</v>
      </c>
      <c r="Z4">
        <f t="shared" si="3"/>
        <v>0.10027011338904744</v>
      </c>
    </row>
    <row r="5" spans="1:27" x14ac:dyDescent="0.2">
      <c r="A5" s="11" t="s">
        <v>20</v>
      </c>
      <c r="B5" s="25" t="s">
        <v>80</v>
      </c>
      <c r="C5" s="1">
        <v>203025</v>
      </c>
      <c r="D5" t="s">
        <v>220</v>
      </c>
      <c r="E5">
        <f>2945*2947*23</f>
        <v>199615045</v>
      </c>
      <c r="F5">
        <f t="shared" si="4"/>
        <v>34378701.125124998</v>
      </c>
      <c r="G5">
        <v>11645.4</v>
      </c>
      <c r="H5">
        <f t="shared" si="0"/>
        <v>3.3873880102727877E-2</v>
      </c>
      <c r="J5" s="11" t="s">
        <v>20</v>
      </c>
      <c r="K5" s="25" t="s">
        <v>9</v>
      </c>
      <c r="L5">
        <v>203025</v>
      </c>
      <c r="M5" t="s">
        <v>53</v>
      </c>
      <c r="N5">
        <f>2949*2949*24</f>
        <v>208718424</v>
      </c>
      <c r="O5">
        <f t="shared" si="5"/>
        <v>35946530.573399998</v>
      </c>
      <c r="P5">
        <v>37773.74</v>
      </c>
      <c r="Q5">
        <f t="shared" si="1"/>
        <v>0.10508313152188353</v>
      </c>
      <c r="R5" s="13"/>
      <c r="S5" s="11" t="s">
        <v>20</v>
      </c>
      <c r="T5" s="25" t="s">
        <v>11</v>
      </c>
      <c r="U5">
        <v>203025</v>
      </c>
      <c r="V5" t="s">
        <v>222</v>
      </c>
      <c r="W5">
        <f>2949*2949*28</f>
        <v>243504828</v>
      </c>
      <c r="X5">
        <f t="shared" si="2"/>
        <v>41937619.002299994</v>
      </c>
      <c r="Y5">
        <v>5484.32</v>
      </c>
      <c r="Z5">
        <f t="shared" si="3"/>
        <v>1.3077328018310295E-2</v>
      </c>
    </row>
    <row r="6" spans="1:27" x14ac:dyDescent="0.2">
      <c r="A6" s="11" t="s">
        <v>23</v>
      </c>
      <c r="B6" s="25" t="s">
        <v>80</v>
      </c>
      <c r="C6" s="1">
        <v>203019</v>
      </c>
      <c r="D6" t="s">
        <v>221</v>
      </c>
      <c r="E6">
        <f>2946*2947*34</f>
        <v>295183308</v>
      </c>
      <c r="F6">
        <f t="shared" si="4"/>
        <v>50837945.220299996</v>
      </c>
      <c r="G6">
        <v>17711.38</v>
      </c>
      <c r="H6">
        <f t="shared" si="0"/>
        <v>3.4838898234871428E-2</v>
      </c>
      <c r="J6" s="11" t="s">
        <v>23</v>
      </c>
      <c r="K6" s="25" t="s">
        <v>9</v>
      </c>
      <c r="L6">
        <v>203019</v>
      </c>
      <c r="M6" t="s">
        <v>222</v>
      </c>
      <c r="N6">
        <f>2949*2949*28</f>
        <v>243504828</v>
      </c>
      <c r="O6">
        <f t="shared" si="5"/>
        <v>41937619.002299994</v>
      </c>
      <c r="P6">
        <v>15408.03</v>
      </c>
      <c r="Q6">
        <f t="shared" si="1"/>
        <v>3.6740354761568547E-2</v>
      </c>
      <c r="R6" s="13"/>
      <c r="S6" s="11" t="s">
        <v>23</v>
      </c>
      <c r="T6" s="25" t="s">
        <v>11</v>
      </c>
      <c r="U6">
        <v>203019</v>
      </c>
      <c r="V6" t="s">
        <v>53</v>
      </c>
      <c r="W6">
        <f>2949*2949*24</f>
        <v>208718424</v>
      </c>
      <c r="X6">
        <f t="shared" si="2"/>
        <v>35946530.573399998</v>
      </c>
      <c r="Y6">
        <v>5337.22</v>
      </c>
      <c r="Z6">
        <f t="shared" si="3"/>
        <v>1.4847663779684706E-2</v>
      </c>
    </row>
    <row r="7" spans="1:27" x14ac:dyDescent="0.2">
      <c r="A7" s="11" t="s">
        <v>25</v>
      </c>
      <c r="B7" s="25" t="s">
        <v>80</v>
      </c>
      <c r="C7" s="1">
        <v>203022</v>
      </c>
      <c r="D7" t="s">
        <v>223</v>
      </c>
      <c r="E7">
        <f>2951*2948*16</f>
        <v>139192768</v>
      </c>
      <c r="F7">
        <f t="shared" si="4"/>
        <v>23972474.468799997</v>
      </c>
      <c r="G7">
        <v>989.67</v>
      </c>
      <c r="H7">
        <f t="shared" si="0"/>
        <v>4.1283598040246046E-3</v>
      </c>
      <c r="J7" s="11" t="s">
        <v>25</v>
      </c>
      <c r="K7" s="25" t="s">
        <v>9</v>
      </c>
      <c r="L7">
        <v>203022</v>
      </c>
      <c r="M7" t="s">
        <v>224</v>
      </c>
      <c r="N7">
        <f>2949*2949*17</f>
        <v>147842217</v>
      </c>
      <c r="O7">
        <f t="shared" si="5"/>
        <v>25462125.822825</v>
      </c>
      <c r="P7">
        <v>63242.38</v>
      </c>
      <c r="Q7">
        <f t="shared" si="1"/>
        <v>0.24837824005766113</v>
      </c>
      <c r="R7" s="13"/>
      <c r="S7" s="11" t="s">
        <v>25</v>
      </c>
      <c r="T7" s="25" t="s">
        <v>11</v>
      </c>
      <c r="U7">
        <v>203022</v>
      </c>
      <c r="V7" t="s">
        <v>224</v>
      </c>
      <c r="W7">
        <f>2949*2949*17</f>
        <v>147842217</v>
      </c>
      <c r="X7">
        <f t="shared" si="2"/>
        <v>25462125.822825</v>
      </c>
      <c r="Y7">
        <v>10202.14</v>
      </c>
      <c r="Z7">
        <f t="shared" si="3"/>
        <v>4.0067903485318968E-2</v>
      </c>
    </row>
    <row r="8" spans="1:27" x14ac:dyDescent="0.2">
      <c r="A8" s="11" t="s">
        <v>28</v>
      </c>
      <c r="B8" s="25" t="s">
        <v>80</v>
      </c>
      <c r="C8" s="1">
        <v>203021</v>
      </c>
      <c r="D8" t="s">
        <v>225</v>
      </c>
      <c r="E8">
        <f>2945*2948*22</f>
        <v>191000920</v>
      </c>
      <c r="F8">
        <f t="shared" si="4"/>
        <v>32895133.446999997</v>
      </c>
      <c r="G8">
        <v>5832.42</v>
      </c>
      <c r="H8">
        <f t="shared" si="0"/>
        <v>1.773034302899875E-2</v>
      </c>
      <c r="J8" s="11" t="s">
        <v>28</v>
      </c>
      <c r="K8" s="25" t="s">
        <v>9</v>
      </c>
      <c r="L8">
        <v>203021</v>
      </c>
      <c r="M8" t="s">
        <v>226</v>
      </c>
      <c r="N8">
        <f>2949*2949*22</f>
        <v>191325222</v>
      </c>
      <c r="O8">
        <f t="shared" si="5"/>
        <v>32950986.358949997</v>
      </c>
      <c r="P8">
        <v>26617.81</v>
      </c>
      <c r="Q8">
        <f t="shared" si="1"/>
        <v>8.0780009769784E-2</v>
      </c>
      <c r="R8" s="13"/>
      <c r="S8" s="11" t="s">
        <v>28</v>
      </c>
      <c r="T8" s="25" t="s">
        <v>11</v>
      </c>
      <c r="U8">
        <v>203021</v>
      </c>
      <c r="V8" t="s">
        <v>227</v>
      </c>
      <c r="W8">
        <f>2949*2949*19</f>
        <v>165235419</v>
      </c>
      <c r="X8">
        <f t="shared" si="2"/>
        <v>28457670.037274994</v>
      </c>
      <c r="Y8">
        <v>11208.37</v>
      </c>
      <c r="Z8">
        <f t="shared" si="3"/>
        <v>3.9386112725739067E-2</v>
      </c>
    </row>
    <row r="9" spans="1:27" x14ac:dyDescent="0.2">
      <c r="A9" s="11" t="s">
        <v>31</v>
      </c>
      <c r="B9" s="25" t="s">
        <v>80</v>
      </c>
      <c r="C9" s="1">
        <v>203023</v>
      </c>
      <c r="D9" t="s">
        <v>202</v>
      </c>
      <c r="E9">
        <f>2943*2952*24</f>
        <v>208505664</v>
      </c>
      <c r="F9">
        <f t="shared" si="4"/>
        <v>35909887.9824</v>
      </c>
      <c r="G9">
        <v>7694.93</v>
      </c>
      <c r="H9">
        <f t="shared" si="0"/>
        <v>2.1428443340651485E-2</v>
      </c>
      <c r="J9" s="11" t="s">
        <v>31</v>
      </c>
      <c r="K9" s="25" t="s">
        <v>9</v>
      </c>
      <c r="L9">
        <v>203023</v>
      </c>
      <c r="M9" t="s">
        <v>227</v>
      </c>
      <c r="N9">
        <f>2949*2949*19</f>
        <v>165235419</v>
      </c>
      <c r="O9">
        <f t="shared" si="5"/>
        <v>28457670.037274994</v>
      </c>
      <c r="P9">
        <v>6463.12</v>
      </c>
      <c r="Q9">
        <f t="shared" si="1"/>
        <v>2.2711346331355825E-2</v>
      </c>
      <c r="R9" s="13"/>
      <c r="S9" s="11" t="s">
        <v>31</v>
      </c>
      <c r="T9" s="25" t="s">
        <v>11</v>
      </c>
      <c r="U9">
        <v>203023</v>
      </c>
      <c r="V9" t="s">
        <v>227</v>
      </c>
      <c r="W9">
        <f>2949*2949*19</f>
        <v>165235419</v>
      </c>
      <c r="X9">
        <f t="shared" si="2"/>
        <v>28457670.037274994</v>
      </c>
      <c r="Y9">
        <v>12128.24</v>
      </c>
      <c r="Z9">
        <f t="shared" si="3"/>
        <v>4.2618527743536083E-2</v>
      </c>
    </row>
    <row r="10" spans="1:27" x14ac:dyDescent="0.2">
      <c r="A10" s="11" t="s">
        <v>34</v>
      </c>
      <c r="B10" s="25" t="s">
        <v>80</v>
      </c>
      <c r="C10" s="1">
        <v>203024</v>
      </c>
      <c r="D10" t="s">
        <v>203</v>
      </c>
      <c r="E10" s="10">
        <f>2952*2946*30</f>
        <v>260897760</v>
      </c>
      <c r="F10" s="10">
        <f t="shared" si="4"/>
        <v>44933116.715999991</v>
      </c>
      <c r="G10" s="10">
        <v>1612.59</v>
      </c>
      <c r="H10" s="10">
        <f t="shared" si="0"/>
        <v>3.5888674497974041E-3</v>
      </c>
      <c r="J10" s="11" t="s">
        <v>34</v>
      </c>
      <c r="K10" s="25" t="s">
        <v>9</v>
      </c>
      <c r="L10">
        <v>203024</v>
      </c>
      <c r="M10" t="s">
        <v>228</v>
      </c>
      <c r="N10">
        <f>2949*2949*26</f>
        <v>226111626</v>
      </c>
      <c r="O10">
        <f t="shared" si="5"/>
        <v>38942074.787849993</v>
      </c>
      <c r="P10">
        <v>5471.63</v>
      </c>
      <c r="Q10">
        <f t="shared" si="1"/>
        <v>1.4050689465850341E-2</v>
      </c>
      <c r="R10" s="13"/>
      <c r="S10" s="11" t="s">
        <v>34</v>
      </c>
      <c r="T10" s="25" t="s">
        <v>11</v>
      </c>
      <c r="U10">
        <v>203024</v>
      </c>
      <c r="V10" t="s">
        <v>229</v>
      </c>
      <c r="W10">
        <f>2949*2949*23</f>
        <v>200021823</v>
      </c>
      <c r="X10">
        <f t="shared" si="2"/>
        <v>34448758.466174997</v>
      </c>
      <c r="Y10">
        <v>3953.42</v>
      </c>
      <c r="Z10">
        <f t="shared" si="3"/>
        <v>1.1476233617771265E-2</v>
      </c>
    </row>
    <row r="11" spans="1:27" s="3" customFormat="1" x14ac:dyDescent="0.2">
      <c r="A11" s="12" t="s">
        <v>37</v>
      </c>
      <c r="B11" s="27" t="s">
        <v>80</v>
      </c>
      <c r="C11" s="5">
        <v>203026</v>
      </c>
      <c r="D11" s="3" t="s">
        <v>230</v>
      </c>
      <c r="E11" s="3">
        <f>2956*2942*24</f>
        <v>208717248</v>
      </c>
      <c r="F11" s="3">
        <f t="shared" si="4"/>
        <v>35946328.036799997</v>
      </c>
      <c r="G11" s="3">
        <v>15191.72</v>
      </c>
      <c r="H11" s="3">
        <f t="shared" si="0"/>
        <v>4.2262230468846501E-2</v>
      </c>
      <c r="I11" s="19"/>
      <c r="J11" s="12" t="s">
        <v>37</v>
      </c>
      <c r="K11" s="27" t="s">
        <v>9</v>
      </c>
      <c r="L11" s="3">
        <v>203026</v>
      </c>
      <c r="M11" s="3" t="s">
        <v>231</v>
      </c>
      <c r="N11" s="3">
        <f>2949*2949*21</f>
        <v>182628621</v>
      </c>
      <c r="O11" s="3">
        <f t="shared" si="5"/>
        <v>31453214.251724999</v>
      </c>
      <c r="P11" s="3">
        <v>7930.49</v>
      </c>
      <c r="Q11" s="3">
        <f t="shared" si="1"/>
        <v>2.5213607539538076E-2</v>
      </c>
      <c r="R11" s="16"/>
      <c r="S11" s="12" t="s">
        <v>37</v>
      </c>
      <c r="T11" s="27" t="s">
        <v>11</v>
      </c>
      <c r="U11" s="3">
        <v>203026</v>
      </c>
      <c r="V11" s="3" t="s">
        <v>232</v>
      </c>
      <c r="W11" s="3">
        <f>2949*2949*18</f>
        <v>156538818</v>
      </c>
      <c r="X11" s="3">
        <f t="shared" si="2"/>
        <v>26959897.930049997</v>
      </c>
      <c r="Y11" s="3">
        <v>6887.51</v>
      </c>
      <c r="Z11" s="3">
        <f t="shared" si="3"/>
        <v>2.5547240638188969E-2</v>
      </c>
      <c r="AA11" s="19"/>
    </row>
    <row r="12" spans="1:27" x14ac:dyDescent="0.2">
      <c r="A12" s="17" t="s">
        <v>40</v>
      </c>
      <c r="B12" s="25" t="s">
        <v>80</v>
      </c>
      <c r="C12" s="14">
        <v>301015</v>
      </c>
      <c r="D12" s="10" t="s">
        <v>253</v>
      </c>
      <c r="E12" s="10">
        <f>2952*2950*35</f>
        <v>304794000</v>
      </c>
      <c r="F12">
        <f t="shared" si="4"/>
        <v>52493146.649999999</v>
      </c>
      <c r="G12" s="6">
        <v>222.39</v>
      </c>
      <c r="H12">
        <f t="shared" si="0"/>
        <v>4.2365530396337942E-4</v>
      </c>
      <c r="J12" s="17" t="s">
        <v>40</v>
      </c>
      <c r="K12" s="25" t="s">
        <v>9</v>
      </c>
      <c r="L12">
        <v>301015</v>
      </c>
      <c r="M12" t="s">
        <v>254</v>
      </c>
      <c r="N12">
        <f>2955*2958*25</f>
        <v>218522250</v>
      </c>
      <c r="O12">
        <f t="shared" si="5"/>
        <v>37634994.506250001</v>
      </c>
      <c r="P12">
        <v>330.64</v>
      </c>
      <c r="Q12">
        <f t="shared" si="1"/>
        <v>8.7854403684074138E-4</v>
      </c>
      <c r="R12" s="18"/>
      <c r="S12" s="17" t="s">
        <v>40</v>
      </c>
      <c r="T12" s="25" t="s">
        <v>11</v>
      </c>
      <c r="U12">
        <v>301015</v>
      </c>
      <c r="V12" t="s">
        <v>255</v>
      </c>
      <c r="W12">
        <f>2949*2953*21</f>
        <v>182876337</v>
      </c>
      <c r="X12">
        <f t="shared" si="2"/>
        <v>31495877.139824994</v>
      </c>
      <c r="Y12">
        <v>208.13</v>
      </c>
      <c r="Z12">
        <f t="shared" si="3"/>
        <v>6.6081664935386034E-4</v>
      </c>
    </row>
    <row r="13" spans="1:27" x14ac:dyDescent="0.2">
      <c r="A13" s="11" t="s">
        <v>43</v>
      </c>
      <c r="B13" s="25" t="s">
        <v>80</v>
      </c>
      <c r="C13" s="14">
        <v>203027</v>
      </c>
      <c r="D13" s="6" t="s">
        <v>256</v>
      </c>
      <c r="E13" s="10">
        <f>2952*2945*35</f>
        <v>304277400</v>
      </c>
      <c r="F13">
        <f t="shared" si="4"/>
        <v>52404175.214999996</v>
      </c>
      <c r="G13" s="6">
        <v>1389.99</v>
      </c>
      <c r="H13">
        <f t="shared" si="0"/>
        <v>2.6524413260913871E-3</v>
      </c>
      <c r="J13" s="11" t="s">
        <v>43</v>
      </c>
      <c r="K13" s="25" t="s">
        <v>9</v>
      </c>
      <c r="L13">
        <v>203027</v>
      </c>
      <c r="M13" t="s">
        <v>257</v>
      </c>
      <c r="N13">
        <f>2953*2956*22</f>
        <v>192039496</v>
      </c>
      <c r="O13">
        <f t="shared" si="5"/>
        <v>33074002.198600002</v>
      </c>
      <c r="P13">
        <v>1348.07</v>
      </c>
      <c r="Q13">
        <f t="shared" si="1"/>
        <v>4.0759203918087142E-3</v>
      </c>
      <c r="R13" s="13"/>
      <c r="S13" s="11" t="s">
        <v>43</v>
      </c>
      <c r="T13" s="25" t="s">
        <v>11</v>
      </c>
      <c r="U13">
        <v>203027</v>
      </c>
      <c r="V13" t="s">
        <v>258</v>
      </c>
      <c r="W13">
        <f>2949*2953*27</f>
        <v>235126719</v>
      </c>
      <c r="X13">
        <f t="shared" si="2"/>
        <v>40494699.179774992</v>
      </c>
      <c r="Y13">
        <v>492.82</v>
      </c>
      <c r="Z13">
        <f t="shared" si="3"/>
        <v>1.2169987923904325E-3</v>
      </c>
    </row>
    <row r="14" spans="1:27" x14ac:dyDescent="0.2">
      <c r="A14" s="11" t="s">
        <v>46</v>
      </c>
      <c r="B14" s="25" t="s">
        <v>80</v>
      </c>
      <c r="C14" s="1">
        <v>301017</v>
      </c>
      <c r="D14" s="6" t="s">
        <v>259</v>
      </c>
      <c r="E14">
        <f>2949*2944*22</f>
        <v>191000832</v>
      </c>
      <c r="F14">
        <f t="shared" si="4"/>
        <v>32895118.291199997</v>
      </c>
      <c r="G14" s="6">
        <v>192</v>
      </c>
      <c r="H14">
        <f t="shared" si="0"/>
        <v>5.8367323169457416E-4</v>
      </c>
      <c r="J14" s="11" t="s">
        <v>46</v>
      </c>
      <c r="K14" s="25" t="s">
        <v>9</v>
      </c>
      <c r="L14">
        <v>301017</v>
      </c>
      <c r="M14" t="s">
        <v>260</v>
      </c>
      <c r="N14">
        <f>2950*2952*16</f>
        <v>139334400</v>
      </c>
      <c r="O14">
        <f t="shared" si="5"/>
        <v>23996867.039999999</v>
      </c>
      <c r="P14">
        <v>90.36</v>
      </c>
      <c r="Q14">
        <f t="shared" si="1"/>
        <v>3.7654915472665803E-4</v>
      </c>
      <c r="R14" s="13"/>
      <c r="S14" s="11" t="s">
        <v>46</v>
      </c>
      <c r="T14" s="25" t="s">
        <v>11</v>
      </c>
      <c r="U14">
        <v>301017</v>
      </c>
      <c r="V14" t="s">
        <v>261</v>
      </c>
      <c r="W14">
        <f>2950*2959*17</f>
        <v>148393850</v>
      </c>
      <c r="X14">
        <f t="shared" si="2"/>
        <v>25557130.81625</v>
      </c>
      <c r="Y14">
        <v>55.78</v>
      </c>
      <c r="Z14">
        <f t="shared" si="3"/>
        <v>2.1825611177187925E-4</v>
      </c>
    </row>
    <row r="15" spans="1:27" x14ac:dyDescent="0.2">
      <c r="A15" s="11" t="s">
        <v>49</v>
      </c>
      <c r="B15" s="25" t="s">
        <v>80</v>
      </c>
      <c r="C15" s="1">
        <v>301003</v>
      </c>
      <c r="D15" s="6" t="s">
        <v>262</v>
      </c>
      <c r="E15">
        <f>2951*2949*29</f>
        <v>252372471</v>
      </c>
      <c r="F15">
        <f t="shared" si="4"/>
        <v>43464848.817974992</v>
      </c>
      <c r="G15" s="6">
        <v>1671.25</v>
      </c>
      <c r="H15">
        <f t="shared" si="0"/>
        <v>3.8450611136345435E-3</v>
      </c>
      <c r="J15" s="11" t="s">
        <v>49</v>
      </c>
      <c r="K15" s="25" t="s">
        <v>9</v>
      </c>
      <c r="L15">
        <v>204065</v>
      </c>
      <c r="M15" t="s">
        <v>263</v>
      </c>
      <c r="N15">
        <f>2955*2953*23</f>
        <v>200700645</v>
      </c>
      <c r="O15">
        <f t="shared" si="5"/>
        <v>34565668.585124999</v>
      </c>
      <c r="P15">
        <v>127.13</v>
      </c>
      <c r="Q15">
        <f t="shared" si="1"/>
        <v>3.6779268332946162E-4</v>
      </c>
      <c r="R15" s="13"/>
      <c r="S15" s="11" t="s">
        <v>49</v>
      </c>
      <c r="T15" s="25" t="s">
        <v>11</v>
      </c>
      <c r="U15">
        <v>204065</v>
      </c>
      <c r="V15" t="s">
        <v>264</v>
      </c>
      <c r="W15">
        <f>2949*2949*12</f>
        <v>104359212</v>
      </c>
      <c r="X15">
        <f t="shared" si="2"/>
        <v>17973265.286699999</v>
      </c>
      <c r="Y15">
        <v>65.09</v>
      </c>
      <c r="Z15">
        <f t="shared" si="3"/>
        <v>3.6214899720066906E-4</v>
      </c>
    </row>
    <row r="16" spans="1:27" x14ac:dyDescent="0.2">
      <c r="A16" s="11" t="s">
        <v>52</v>
      </c>
      <c r="B16" s="25" t="s">
        <v>80</v>
      </c>
      <c r="C16" s="1">
        <v>203028</v>
      </c>
      <c r="D16" s="6" t="s">
        <v>276</v>
      </c>
      <c r="E16">
        <f>2946*2947*27</f>
        <v>234410274</v>
      </c>
      <c r="F16">
        <f t="shared" si="4"/>
        <v>40371309.439649992</v>
      </c>
      <c r="G16" s="6">
        <v>1924.1</v>
      </c>
      <c r="H16">
        <f t="shared" si="0"/>
        <v>4.766008402269652E-3</v>
      </c>
      <c r="J16" s="11" t="s">
        <v>52</v>
      </c>
      <c r="K16" s="25" t="s">
        <v>9</v>
      </c>
      <c r="L16">
        <v>203028</v>
      </c>
      <c r="M16" t="s">
        <v>277</v>
      </c>
      <c r="N16">
        <f>2951*2954*27</f>
        <v>235365858</v>
      </c>
      <c r="O16">
        <f t="shared" si="5"/>
        <v>40535884.894049995</v>
      </c>
      <c r="P16">
        <v>6325.17</v>
      </c>
      <c r="Q16">
        <f t="shared" si="1"/>
        <v>1.5603877938109183E-2</v>
      </c>
      <c r="R16" s="13"/>
      <c r="S16" s="11" t="s">
        <v>52</v>
      </c>
      <c r="T16" s="25" t="s">
        <v>11</v>
      </c>
      <c r="U16">
        <v>203028</v>
      </c>
      <c r="V16" t="s">
        <v>278</v>
      </c>
      <c r="W16">
        <f>2957*2955*21</f>
        <v>183496635</v>
      </c>
      <c r="X16">
        <f t="shared" si="2"/>
        <v>31602707.962874994</v>
      </c>
      <c r="Y16">
        <v>1143.28</v>
      </c>
      <c r="Z16">
        <f t="shared" si="3"/>
        <v>3.6176646676704359E-3</v>
      </c>
    </row>
    <row r="17" spans="1:27" x14ac:dyDescent="0.2">
      <c r="A17" s="11" t="s">
        <v>55</v>
      </c>
      <c r="B17" s="25" t="s">
        <v>80</v>
      </c>
      <c r="C17" s="1">
        <v>203029</v>
      </c>
      <c r="D17" t="s">
        <v>204</v>
      </c>
      <c r="E17">
        <f>2955*2950*23</f>
        <v>200496750</v>
      </c>
      <c r="F17">
        <f t="shared" si="4"/>
        <v>34530552.768749997</v>
      </c>
      <c r="G17">
        <v>1274.7</v>
      </c>
      <c r="H17">
        <f t="shared" si="0"/>
        <v>3.6915134505277835E-3</v>
      </c>
      <c r="J17" s="11" t="s">
        <v>55</v>
      </c>
      <c r="K17" s="25" t="s">
        <v>9</v>
      </c>
      <c r="L17">
        <v>203029</v>
      </c>
      <c r="M17" t="s">
        <v>265</v>
      </c>
      <c r="N17">
        <f>2956*2954*24</f>
        <v>209568576</v>
      </c>
      <c r="O17">
        <f t="shared" si="5"/>
        <v>36092948.001599997</v>
      </c>
      <c r="P17">
        <v>62.12</v>
      </c>
      <c r="Q17">
        <f t="shared" si="1"/>
        <v>1.7211118359532787E-4</v>
      </c>
      <c r="R17" s="13"/>
      <c r="S17" s="11" t="s">
        <v>55</v>
      </c>
      <c r="T17" s="25" t="s">
        <v>11</v>
      </c>
      <c r="U17">
        <v>203029</v>
      </c>
      <c r="V17" t="s">
        <v>266</v>
      </c>
      <c r="W17">
        <f>2958*2949*23</f>
        <v>200632266</v>
      </c>
      <c r="X17">
        <f t="shared" si="2"/>
        <v>34553892.011849999</v>
      </c>
      <c r="Y17">
        <v>277.58999999999997</v>
      </c>
      <c r="Z17">
        <f t="shared" si="3"/>
        <v>8.0335378690424373E-4</v>
      </c>
    </row>
    <row r="18" spans="1:27" x14ac:dyDescent="0.2">
      <c r="A18" s="11" t="s">
        <v>58</v>
      </c>
      <c r="B18" s="25" t="s">
        <v>80</v>
      </c>
      <c r="C18" s="1">
        <v>203030</v>
      </c>
      <c r="D18" t="s">
        <v>267</v>
      </c>
      <c r="E18">
        <f>2949*2949*33</f>
        <v>286987833</v>
      </c>
      <c r="F18">
        <f t="shared" si="4"/>
        <v>49426479.538424991</v>
      </c>
      <c r="G18">
        <v>236.64</v>
      </c>
      <c r="H18">
        <f t="shared" si="0"/>
        <v>4.7877170741248527E-4</v>
      </c>
      <c r="J18" s="11" t="s">
        <v>58</v>
      </c>
      <c r="K18" s="25" t="s">
        <v>9</v>
      </c>
      <c r="L18">
        <v>203030</v>
      </c>
      <c r="M18" t="s">
        <v>268</v>
      </c>
      <c r="N18">
        <f>2956*2956*22</f>
        <v>192234592</v>
      </c>
      <c r="O18">
        <f t="shared" si="5"/>
        <v>33107602.607199997</v>
      </c>
      <c r="P18">
        <v>389.6</v>
      </c>
      <c r="Q18">
        <f t="shared" si="1"/>
        <v>1.176768987541468E-3</v>
      </c>
      <c r="R18" s="13"/>
      <c r="S18" s="11" t="s">
        <v>58</v>
      </c>
      <c r="T18" s="25" t="s">
        <v>11</v>
      </c>
      <c r="U18">
        <v>203030</v>
      </c>
      <c r="V18" t="s">
        <v>232</v>
      </c>
      <c r="W18">
        <f>2949*2949*18</f>
        <v>156538818</v>
      </c>
      <c r="X18">
        <f t="shared" si="2"/>
        <v>26959897.930049997</v>
      </c>
      <c r="Y18">
        <v>403.19</v>
      </c>
      <c r="Z18">
        <f t="shared" si="3"/>
        <v>1.4955175314317383E-3</v>
      </c>
    </row>
    <row r="19" spans="1:27" x14ac:dyDescent="0.2">
      <c r="A19" s="11" t="s">
        <v>61</v>
      </c>
      <c r="B19" s="25" t="s">
        <v>80</v>
      </c>
      <c r="C19" s="1">
        <v>203031</v>
      </c>
      <c r="D19" t="s">
        <v>227</v>
      </c>
      <c r="E19">
        <f>2949*2949*19</f>
        <v>165235419</v>
      </c>
      <c r="F19">
        <f t="shared" si="4"/>
        <v>28457670.037274994</v>
      </c>
      <c r="G19">
        <v>199.77</v>
      </c>
      <c r="H19">
        <f t="shared" si="0"/>
        <v>7.0199000739812247E-4</v>
      </c>
      <c r="J19" s="11" t="s">
        <v>61</v>
      </c>
      <c r="K19" s="25" t="s">
        <v>9</v>
      </c>
      <c r="L19">
        <v>203031</v>
      </c>
      <c r="M19" t="s">
        <v>205</v>
      </c>
      <c r="N19">
        <f>2949*2949*20</f>
        <v>173932020</v>
      </c>
      <c r="O19">
        <f t="shared" si="5"/>
        <v>29955442.144499999</v>
      </c>
      <c r="P19">
        <v>527.02</v>
      </c>
      <c r="Q19">
        <f t="shared" si="1"/>
        <v>1.7593464234570279E-3</v>
      </c>
      <c r="R19" s="13"/>
      <c r="S19" s="11" t="s">
        <v>61</v>
      </c>
      <c r="T19" s="25" t="s">
        <v>11</v>
      </c>
      <c r="U19">
        <v>203031</v>
      </c>
      <c r="V19" t="s">
        <v>205</v>
      </c>
      <c r="W19">
        <f>2949*2949*20</f>
        <v>173932020</v>
      </c>
      <c r="X19">
        <f t="shared" si="2"/>
        <v>29955442.144499999</v>
      </c>
      <c r="Y19">
        <v>592.12</v>
      </c>
      <c r="Z19">
        <f t="shared" si="3"/>
        <v>1.9766692046931339E-3</v>
      </c>
    </row>
    <row r="20" spans="1:27" x14ac:dyDescent="0.2">
      <c r="A20" s="11" t="s">
        <v>64</v>
      </c>
      <c r="B20" s="25" t="s">
        <v>80</v>
      </c>
      <c r="C20" s="1">
        <v>203032</v>
      </c>
      <c r="D20" t="s">
        <v>269</v>
      </c>
      <c r="E20">
        <f>2951*2948*21</f>
        <v>182690508</v>
      </c>
      <c r="F20">
        <f t="shared" si="4"/>
        <v>31463872.740299996</v>
      </c>
      <c r="G20">
        <v>1501.87</v>
      </c>
      <c r="H20">
        <f t="shared" si="0"/>
        <v>4.7733157720166912E-3</v>
      </c>
      <c r="J20" s="11" t="s">
        <v>64</v>
      </c>
      <c r="K20" s="25" t="s">
        <v>9</v>
      </c>
      <c r="L20">
        <v>203032</v>
      </c>
      <c r="M20" t="s">
        <v>270</v>
      </c>
      <c r="N20">
        <f>2950*2949*20</f>
        <v>173991000</v>
      </c>
      <c r="O20">
        <f t="shared" si="5"/>
        <v>29965599.974999998</v>
      </c>
      <c r="P20">
        <v>254.78</v>
      </c>
      <c r="Q20">
        <f t="shared" si="1"/>
        <v>8.5024161108925033E-4</v>
      </c>
      <c r="R20" s="13"/>
      <c r="S20" s="11" t="s">
        <v>64</v>
      </c>
      <c r="T20" s="25" t="s">
        <v>11</v>
      </c>
      <c r="U20">
        <v>203032</v>
      </c>
      <c r="V20" t="s">
        <v>229</v>
      </c>
      <c r="W20">
        <f>2949*2949*23</f>
        <v>200021823</v>
      </c>
      <c r="X20">
        <f t="shared" si="2"/>
        <v>34448758.466174997</v>
      </c>
      <c r="Y20">
        <v>219.3</v>
      </c>
      <c r="Z20">
        <f t="shared" si="3"/>
        <v>6.3659768817308517E-4</v>
      </c>
    </row>
    <row r="21" spans="1:27" x14ac:dyDescent="0.2">
      <c r="A21" s="11" t="s">
        <v>67</v>
      </c>
      <c r="B21" s="25" t="s">
        <v>80</v>
      </c>
      <c r="C21" s="1">
        <v>203033</v>
      </c>
      <c r="D21" t="s">
        <v>227</v>
      </c>
      <c r="E21">
        <f>2949*2949*19</f>
        <v>165235419</v>
      </c>
      <c r="F21">
        <f t="shared" si="4"/>
        <v>28457670.037274994</v>
      </c>
      <c r="G21">
        <v>19.84</v>
      </c>
      <c r="H21">
        <f t="shared" si="0"/>
        <v>6.9717583955442497E-5</v>
      </c>
      <c r="J21" s="11" t="s">
        <v>67</v>
      </c>
      <c r="K21" s="25" t="s">
        <v>9</v>
      </c>
      <c r="L21">
        <v>203033</v>
      </c>
      <c r="M21" t="s">
        <v>271</v>
      </c>
      <c r="N21">
        <f>2955*2961*18</f>
        <v>157495590</v>
      </c>
      <c r="O21">
        <f t="shared" si="5"/>
        <v>27124677.987749998</v>
      </c>
      <c r="P21">
        <v>271.43</v>
      </c>
      <c r="Q21">
        <f t="shared" si="1"/>
        <v>1.0006754739082351E-3</v>
      </c>
      <c r="R21" s="13"/>
      <c r="S21" s="11" t="s">
        <v>67</v>
      </c>
      <c r="T21" s="25" t="s">
        <v>11</v>
      </c>
      <c r="U21">
        <v>203033</v>
      </c>
      <c r="V21" t="s">
        <v>272</v>
      </c>
      <c r="W21">
        <f>2950*2956*20</f>
        <v>174404000</v>
      </c>
      <c r="X21">
        <f t="shared" si="2"/>
        <v>30036728.899999999</v>
      </c>
      <c r="Y21">
        <v>440.82</v>
      </c>
      <c r="Z21">
        <f t="shared" si="3"/>
        <v>1.4676032182718807E-3</v>
      </c>
    </row>
    <row r="22" spans="1:27" s="3" customFormat="1" x14ac:dyDescent="0.2">
      <c r="A22" s="12" t="s">
        <v>70</v>
      </c>
      <c r="B22" s="27" t="s">
        <v>80</v>
      </c>
      <c r="C22" s="5">
        <v>203033</v>
      </c>
      <c r="D22" s="3" t="s">
        <v>273</v>
      </c>
      <c r="E22" s="3">
        <f>2949*2949*14</f>
        <v>121752414</v>
      </c>
      <c r="F22" s="3">
        <f t="shared" si="4"/>
        <v>20968809.501149997</v>
      </c>
      <c r="G22" s="3">
        <v>0</v>
      </c>
      <c r="H22" s="3">
        <f t="shared" si="0"/>
        <v>0</v>
      </c>
      <c r="I22" s="19"/>
      <c r="J22" s="12" t="s">
        <v>70</v>
      </c>
      <c r="K22" s="27" t="s">
        <v>9</v>
      </c>
      <c r="L22" s="3">
        <v>203033</v>
      </c>
      <c r="M22" s="3" t="s">
        <v>274</v>
      </c>
      <c r="N22" s="3">
        <f>2953*2963*17</f>
        <v>148745563</v>
      </c>
      <c r="O22" s="3">
        <f t="shared" si="5"/>
        <v>25617704.587674998</v>
      </c>
      <c r="P22" s="3">
        <v>339.33</v>
      </c>
      <c r="Q22" s="3">
        <f t="shared" si="1"/>
        <v>1.3245917441145603E-3</v>
      </c>
      <c r="R22" s="16"/>
      <c r="S22" s="12" t="s">
        <v>70</v>
      </c>
      <c r="T22" s="27" t="s">
        <v>11</v>
      </c>
      <c r="U22" s="3">
        <v>203033</v>
      </c>
      <c r="V22" s="3" t="s">
        <v>275</v>
      </c>
      <c r="W22" s="3">
        <f>2962*2953*20</f>
        <v>174935720</v>
      </c>
      <c r="X22" s="3">
        <f t="shared" si="2"/>
        <v>30128304.376999997</v>
      </c>
      <c r="Y22" s="3">
        <v>730.23</v>
      </c>
      <c r="Z22" s="3">
        <f t="shared" si="3"/>
        <v>2.4237341433574304E-3</v>
      </c>
      <c r="AA22" s="19"/>
    </row>
    <row r="23" spans="1:27" x14ac:dyDescent="0.2">
      <c r="A23" s="11" t="s">
        <v>296</v>
      </c>
      <c r="B23" s="25" t="s">
        <v>80</v>
      </c>
      <c r="C23" s="1">
        <v>203018</v>
      </c>
      <c r="D23" t="s">
        <v>214</v>
      </c>
      <c r="E23">
        <f>2953*2952*41</f>
        <v>357407496</v>
      </c>
      <c r="F23">
        <f t="shared" ref="F23" si="6">E23*0.415*0.415</f>
        <v>61554505.998599999</v>
      </c>
      <c r="G23">
        <v>4717.2700000000004</v>
      </c>
      <c r="H23">
        <f t="shared" ref="H23" si="7">G23/F23*100</f>
        <v>7.6635656861697345E-3</v>
      </c>
      <c r="J23" s="11" t="s">
        <v>296</v>
      </c>
      <c r="K23" s="25" t="s">
        <v>9</v>
      </c>
      <c r="L23">
        <v>203018</v>
      </c>
      <c r="M23" t="s">
        <v>215</v>
      </c>
      <c r="N23">
        <f>2953*2952*26</f>
        <v>226648656</v>
      </c>
      <c r="O23">
        <f t="shared" ref="O23" si="8">N23*0.415*0.415</f>
        <v>39034564.779599994</v>
      </c>
      <c r="P23">
        <v>3462.87</v>
      </c>
      <c r="Q23">
        <f t="shared" ref="Q23" si="9">P23/O23*100</f>
        <v>8.8712914299219851E-3</v>
      </c>
      <c r="R23" s="13"/>
      <c r="S23" s="11" t="s">
        <v>296</v>
      </c>
      <c r="T23" s="25" t="s">
        <v>11</v>
      </c>
      <c r="U23">
        <v>203018</v>
      </c>
      <c r="V23" t="s">
        <v>216</v>
      </c>
      <c r="W23">
        <f>2954*2953*26</f>
        <v>226802212</v>
      </c>
      <c r="X23">
        <f t="shared" ref="X23" si="10">W23*0.415*0.415</f>
        <v>39061010.961699992</v>
      </c>
      <c r="Y23">
        <v>1889.45</v>
      </c>
      <c r="Z23">
        <f t="shared" ref="Z23" si="11">Y23/X23*100</f>
        <v>4.8371763901672669E-3</v>
      </c>
    </row>
    <row r="24" spans="1:27" x14ac:dyDescent="0.2">
      <c r="A24" s="11" t="s">
        <v>73</v>
      </c>
      <c r="B24" s="25" t="s">
        <v>80</v>
      </c>
      <c r="C24" s="1">
        <v>301033</v>
      </c>
      <c r="D24" s="6" t="s">
        <v>234</v>
      </c>
      <c r="E24">
        <f>2956*2953*22</f>
        <v>192039496</v>
      </c>
      <c r="F24">
        <f t="shared" si="4"/>
        <v>33074002.198600002</v>
      </c>
      <c r="G24" s="6">
        <v>1074.56</v>
      </c>
      <c r="H24">
        <f t="shared" si="0"/>
        <v>3.2489566685869218E-3</v>
      </c>
      <c r="J24" s="11" t="s">
        <v>73</v>
      </c>
      <c r="K24" s="25" t="s">
        <v>9</v>
      </c>
      <c r="L24">
        <v>301033</v>
      </c>
      <c r="M24" t="s">
        <v>235</v>
      </c>
      <c r="N24">
        <f>2958*2953*22</f>
        <v>192169428</v>
      </c>
      <c r="O24">
        <f t="shared" si="5"/>
        <v>33096379.737299994</v>
      </c>
      <c r="P24">
        <v>12451.77</v>
      </c>
      <c r="Q24">
        <f t="shared" si="1"/>
        <v>3.7622755415652652E-2</v>
      </c>
      <c r="R24" s="13"/>
      <c r="S24" s="11" t="s">
        <v>73</v>
      </c>
      <c r="T24" s="25" t="s">
        <v>11</v>
      </c>
      <c r="U24">
        <v>301033</v>
      </c>
      <c r="V24" t="s">
        <v>236</v>
      </c>
      <c r="W24">
        <f>2952*2955*23</f>
        <v>200632680</v>
      </c>
      <c r="X24">
        <f t="shared" si="2"/>
        <v>34553963.313000001</v>
      </c>
      <c r="Y24">
        <v>1030.57</v>
      </c>
      <c r="Z24">
        <f t="shared" si="3"/>
        <v>2.9824943398382197E-3</v>
      </c>
    </row>
    <row r="25" spans="1:27" x14ac:dyDescent="0.2">
      <c r="A25" s="11" t="s">
        <v>74</v>
      </c>
      <c r="B25" s="25" t="s">
        <v>80</v>
      </c>
      <c r="C25" s="1">
        <v>301030</v>
      </c>
      <c r="D25" t="s">
        <v>233</v>
      </c>
      <c r="E25">
        <f>2956*2946*36</f>
        <v>313501536</v>
      </c>
      <c r="F25">
        <f t="shared" si="4"/>
        <v>53992802.037599996</v>
      </c>
      <c r="G25">
        <v>18519.060000000001</v>
      </c>
      <c r="H25">
        <f t="shared" si="0"/>
        <v>3.4299127478332261E-2</v>
      </c>
      <c r="J25" s="11" t="s">
        <v>74</v>
      </c>
      <c r="K25" s="25" t="s">
        <v>9</v>
      </c>
      <c r="L25">
        <v>301030</v>
      </c>
      <c r="M25" t="s">
        <v>237</v>
      </c>
      <c r="N25">
        <f>2953*2949*25</f>
        <v>217709925</v>
      </c>
      <c r="O25">
        <f t="shared" si="5"/>
        <v>37495091.833124995</v>
      </c>
      <c r="P25">
        <v>2729.06</v>
      </c>
      <c r="Q25">
        <f t="shared" si="1"/>
        <v>7.2784459687308062E-3</v>
      </c>
      <c r="R25" s="13"/>
      <c r="S25" s="11" t="s">
        <v>74</v>
      </c>
      <c r="T25" s="25" t="s">
        <v>11</v>
      </c>
      <c r="U25">
        <v>301030</v>
      </c>
      <c r="V25" t="s">
        <v>238</v>
      </c>
      <c r="W25">
        <f>2960*2957*23</f>
        <v>201312560</v>
      </c>
      <c r="X25">
        <f t="shared" si="2"/>
        <v>34671055.645999998</v>
      </c>
      <c r="Y25">
        <v>67.2</v>
      </c>
      <c r="Z25">
        <f t="shared" si="3"/>
        <v>1.9382161502703733E-4</v>
      </c>
    </row>
    <row r="26" spans="1:27" x14ac:dyDescent="0.2">
      <c r="A26" s="11" t="s">
        <v>75</v>
      </c>
      <c r="B26" s="25" t="s">
        <v>80</v>
      </c>
      <c r="C26" s="1">
        <v>203077</v>
      </c>
      <c r="D26" t="s">
        <v>239</v>
      </c>
      <c r="E26">
        <f>2954*2939*45</f>
        <v>390681270</v>
      </c>
      <c r="F26">
        <f t="shared" si="4"/>
        <v>67285081.725749984</v>
      </c>
      <c r="G26">
        <v>5077.08</v>
      </c>
      <c r="H26">
        <f t="shared" si="0"/>
        <v>7.5456250773297383E-3</v>
      </c>
      <c r="J26" s="11" t="s">
        <v>75</v>
      </c>
      <c r="K26" s="25" t="s">
        <v>9</v>
      </c>
      <c r="L26">
        <v>203077</v>
      </c>
      <c r="M26" t="s">
        <v>240</v>
      </c>
      <c r="N26">
        <f>2955*2954*28</f>
        <v>244413960</v>
      </c>
      <c r="O26">
        <f t="shared" si="5"/>
        <v>42094194.260999992</v>
      </c>
      <c r="P26">
        <v>3821.6</v>
      </c>
      <c r="Q26">
        <f t="shared" si="1"/>
        <v>9.0786866623568767E-3</v>
      </c>
      <c r="R26" s="13"/>
      <c r="S26" s="11" t="s">
        <v>75</v>
      </c>
      <c r="T26" s="25" t="s">
        <v>11</v>
      </c>
      <c r="U26">
        <v>203077</v>
      </c>
      <c r="V26" t="s">
        <v>241</v>
      </c>
      <c r="W26">
        <f>2956*2953*24</f>
        <v>209497632</v>
      </c>
      <c r="X26">
        <f t="shared" si="2"/>
        <v>36080729.6712</v>
      </c>
      <c r="Y26">
        <v>248.11</v>
      </c>
      <c r="Z26">
        <f t="shared" si="3"/>
        <v>6.8765239023989007E-4</v>
      </c>
    </row>
    <row r="27" spans="1:27" x14ac:dyDescent="0.2">
      <c r="A27" s="11" t="s">
        <v>76</v>
      </c>
      <c r="B27" s="25" t="s">
        <v>80</v>
      </c>
      <c r="C27" s="1">
        <v>301014</v>
      </c>
      <c r="D27" t="s">
        <v>242</v>
      </c>
      <c r="E27">
        <f>2950*2951*42</f>
        <v>365628900</v>
      </c>
      <c r="F27">
        <f t="shared" si="4"/>
        <v>62970437.302499995</v>
      </c>
      <c r="G27">
        <v>10950.27</v>
      </c>
      <c r="H27">
        <f t="shared" si="0"/>
        <v>1.7389540979994532E-2</v>
      </c>
      <c r="J27" s="11" t="s">
        <v>76</v>
      </c>
      <c r="K27" s="25" t="s">
        <v>9</v>
      </c>
      <c r="L27">
        <v>301014</v>
      </c>
      <c r="M27" t="s">
        <v>243</v>
      </c>
      <c r="N27">
        <f>2949*2951*28</f>
        <v>243669972</v>
      </c>
      <c r="O27">
        <f t="shared" si="5"/>
        <v>41966060.927699998</v>
      </c>
      <c r="P27">
        <v>1504.7</v>
      </c>
      <c r="Q27">
        <f t="shared" si="1"/>
        <v>3.5855164071565554E-3</v>
      </c>
      <c r="R27" s="13"/>
      <c r="S27" s="11" t="s">
        <v>76</v>
      </c>
      <c r="T27" s="25" t="s">
        <v>11</v>
      </c>
      <c r="U27">
        <v>301014</v>
      </c>
      <c r="V27" t="s">
        <v>166</v>
      </c>
      <c r="W27">
        <f>2954*2952*27</f>
        <v>235445616</v>
      </c>
      <c r="X27">
        <f t="shared" si="2"/>
        <v>40549621.215599999</v>
      </c>
      <c r="Y27">
        <v>3801.01</v>
      </c>
      <c r="Z27">
        <f t="shared" si="3"/>
        <v>9.3737250461360631E-3</v>
      </c>
    </row>
    <row r="28" spans="1:27" x14ac:dyDescent="0.2">
      <c r="A28" s="11" t="s">
        <v>77</v>
      </c>
      <c r="B28" s="25" t="s">
        <v>80</v>
      </c>
      <c r="C28" s="1">
        <v>203051</v>
      </c>
      <c r="D28" t="s">
        <v>244</v>
      </c>
      <c r="E28">
        <f>2956*2947*36</f>
        <v>313607952</v>
      </c>
      <c r="F28">
        <f t="shared" si="4"/>
        <v>54011129.533199996</v>
      </c>
      <c r="G28">
        <v>4493.3900000000003</v>
      </c>
      <c r="H28">
        <f>G28/F28*100</f>
        <v>8.3193779482763214E-3</v>
      </c>
      <c r="J28" s="11" t="s">
        <v>77</v>
      </c>
      <c r="K28" s="25" t="s">
        <v>9</v>
      </c>
      <c r="L28">
        <v>203051</v>
      </c>
      <c r="M28" t="s">
        <v>245</v>
      </c>
      <c r="N28">
        <f>2951*2949*26</f>
        <v>226264974</v>
      </c>
      <c r="O28">
        <f t="shared" si="5"/>
        <v>38968485.147149995</v>
      </c>
      <c r="P28">
        <v>1286</v>
      </c>
      <c r="Q28">
        <f t="shared" si="1"/>
        <v>3.3001026217567841E-3</v>
      </c>
      <c r="R28" s="13"/>
      <c r="S28" s="11" t="s">
        <v>77</v>
      </c>
      <c r="T28" s="25" t="s">
        <v>11</v>
      </c>
      <c r="U28">
        <v>203051</v>
      </c>
      <c r="V28" t="s">
        <v>246</v>
      </c>
      <c r="W28">
        <f>2949*2955*25</f>
        <v>217857375</v>
      </c>
      <c r="X28">
        <f t="shared" si="2"/>
        <v>37520486.409374997</v>
      </c>
      <c r="Y28">
        <v>2866.2</v>
      </c>
      <c r="Z28">
        <f t="shared" si="3"/>
        <v>7.6390267672112088E-3</v>
      </c>
    </row>
    <row r="29" spans="1:27" x14ac:dyDescent="0.2">
      <c r="A29" s="11" t="s">
        <v>78</v>
      </c>
      <c r="B29" s="25" t="s">
        <v>80</v>
      </c>
      <c r="C29" s="1">
        <v>203052</v>
      </c>
      <c r="D29" t="s">
        <v>247</v>
      </c>
      <c r="E29">
        <f>2946*2946*20</f>
        <v>173578320</v>
      </c>
      <c r="F29">
        <f t="shared" si="4"/>
        <v>29894526.161999997</v>
      </c>
      <c r="G29">
        <v>537.47</v>
      </c>
      <c r="H29">
        <f>G29/F29*100</f>
        <v>1.7978876704297707E-3</v>
      </c>
      <c r="J29" s="11" t="s">
        <v>78</v>
      </c>
      <c r="K29" s="25" t="s">
        <v>9</v>
      </c>
      <c r="L29">
        <v>203052</v>
      </c>
      <c r="M29" t="s">
        <v>248</v>
      </c>
      <c r="N29">
        <f>2954*2956*17</f>
        <v>148444408</v>
      </c>
      <c r="O29">
        <f t="shared" si="5"/>
        <v>25565838.167799998</v>
      </c>
      <c r="P29">
        <v>3276.3</v>
      </c>
      <c r="Q29">
        <f t="shared" si="1"/>
        <v>1.2815148005303726E-2</v>
      </c>
      <c r="R29" s="13"/>
      <c r="S29" s="11" t="s">
        <v>78</v>
      </c>
      <c r="T29" s="25" t="s">
        <v>11</v>
      </c>
      <c r="U29">
        <v>203052</v>
      </c>
      <c r="V29" t="s">
        <v>249</v>
      </c>
      <c r="W29">
        <f>2954*2959*20</f>
        <v>174817720</v>
      </c>
      <c r="X29">
        <f t="shared" si="2"/>
        <v>30107981.826999996</v>
      </c>
      <c r="Y29">
        <v>1350.78</v>
      </c>
      <c r="Z29">
        <f t="shared" si="3"/>
        <v>4.4864514923702329E-3</v>
      </c>
    </row>
    <row r="30" spans="1:27" x14ac:dyDescent="0.2">
      <c r="A30" s="11" t="s">
        <v>79</v>
      </c>
      <c r="B30" s="25" t="s">
        <v>80</v>
      </c>
      <c r="C30" s="1">
        <v>203053</v>
      </c>
      <c r="D30" t="s">
        <v>250</v>
      </c>
      <c r="E30">
        <f>2949*2950*15</f>
        <v>130493250</v>
      </c>
      <c r="F30">
        <f t="shared" si="4"/>
        <v>22474199.981249999</v>
      </c>
      <c r="G30">
        <v>441.82</v>
      </c>
      <c r="H30">
        <f>G30/F30*100</f>
        <v>1.9658986765651548E-3</v>
      </c>
      <c r="J30" s="11" t="s">
        <v>79</v>
      </c>
      <c r="K30" s="25" t="s">
        <v>9</v>
      </c>
      <c r="L30">
        <v>203053</v>
      </c>
      <c r="M30" t="s">
        <v>251</v>
      </c>
      <c r="N30">
        <f>2951*2954*26</f>
        <v>226648604</v>
      </c>
      <c r="O30">
        <f t="shared" si="5"/>
        <v>39034555.823899999</v>
      </c>
      <c r="P30">
        <v>1130</v>
      </c>
      <c r="Q30">
        <f t="shared" si="1"/>
        <v>2.8948709064293382E-3</v>
      </c>
      <c r="R30" s="13"/>
      <c r="S30" s="11" t="s">
        <v>79</v>
      </c>
      <c r="T30" s="25" t="s">
        <v>11</v>
      </c>
      <c r="U30">
        <v>203053</v>
      </c>
      <c r="V30" t="s">
        <v>252</v>
      </c>
      <c r="W30">
        <f>2955*2954*27</f>
        <v>235684890</v>
      </c>
      <c r="X30">
        <f t="shared" si="2"/>
        <v>40590830.180249996</v>
      </c>
      <c r="Y30">
        <v>492.78</v>
      </c>
      <c r="Z30">
        <f t="shared" si="3"/>
        <v>1.2140180376004445E-3</v>
      </c>
    </row>
    <row r="31" spans="1:27" s="8" customForma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C8630-ADE7-E94D-89EE-8F443A90A45B}">
  <dimension ref="A1:Z30"/>
  <sheetViews>
    <sheetView workbookViewId="0">
      <selection activeCell="H7" sqref="H7"/>
    </sheetView>
  </sheetViews>
  <sheetFormatPr baseColWidth="10" defaultRowHeight="16" x14ac:dyDescent="0.2"/>
  <cols>
    <col min="3" max="3" width="11" bestFit="1" customWidth="1"/>
    <col min="4" max="4" width="16.1640625" customWidth="1"/>
    <col min="5" max="5" width="18.6640625" customWidth="1"/>
    <col min="6" max="6" width="16.5" customWidth="1"/>
    <col min="7" max="7" width="16" customWidth="1"/>
    <col min="8" max="8" width="12.1640625" bestFit="1" customWidth="1"/>
    <col min="9" max="9" width="10.83203125" style="8"/>
    <col min="12" max="12" width="11" bestFit="1" customWidth="1"/>
    <col min="13" max="13" width="15.1640625" customWidth="1"/>
    <col min="14" max="14" width="14.1640625" customWidth="1"/>
    <col min="15" max="15" width="15" customWidth="1"/>
    <col min="16" max="16" width="14.83203125" customWidth="1"/>
    <col min="17" max="17" width="18.83203125" customWidth="1"/>
    <col min="21" max="21" width="11" bestFit="1" customWidth="1"/>
    <col min="22" max="22" width="19.33203125" customWidth="1"/>
    <col min="23" max="24" width="11" bestFit="1" customWidth="1"/>
    <col min="25" max="25" width="15.1640625" customWidth="1"/>
    <col min="26" max="26" width="13.6640625" customWidth="1"/>
  </cols>
  <sheetData>
    <row r="1" spans="1:26" x14ac:dyDescent="0.2">
      <c r="A1" s="11" t="s">
        <v>0</v>
      </c>
      <c r="B1" s="11" t="s">
        <v>1</v>
      </c>
      <c r="C1" s="11" t="s">
        <v>2</v>
      </c>
      <c r="D1" s="11" t="s">
        <v>122</v>
      </c>
      <c r="E1" s="11" t="s">
        <v>4</v>
      </c>
      <c r="F1" s="11" t="s">
        <v>5</v>
      </c>
      <c r="G1" s="11" t="s">
        <v>123</v>
      </c>
      <c r="H1" s="11" t="s">
        <v>124</v>
      </c>
      <c r="I1" s="13"/>
      <c r="J1" t="s">
        <v>0</v>
      </c>
      <c r="K1" t="s">
        <v>1</v>
      </c>
      <c r="L1" t="s">
        <v>2</v>
      </c>
      <c r="M1" t="s">
        <v>122</v>
      </c>
      <c r="N1" t="s">
        <v>4</v>
      </c>
      <c r="O1" t="s">
        <v>5</v>
      </c>
      <c r="P1" t="s">
        <v>123</v>
      </c>
      <c r="Q1" t="s">
        <v>124</v>
      </c>
      <c r="R1" s="1"/>
      <c r="S1" t="s">
        <v>0</v>
      </c>
      <c r="T1" t="s">
        <v>1</v>
      </c>
      <c r="U1" t="s">
        <v>2</v>
      </c>
      <c r="V1" t="s">
        <v>122</v>
      </c>
      <c r="W1" t="s">
        <v>4</v>
      </c>
      <c r="X1" t="s">
        <v>5</v>
      </c>
      <c r="Y1" t="s">
        <v>123</v>
      </c>
      <c r="Z1" t="s">
        <v>124</v>
      </c>
    </row>
    <row r="2" spans="1:26" x14ac:dyDescent="0.2">
      <c r="A2" s="11" t="s">
        <v>8</v>
      </c>
      <c r="B2" s="25" t="s">
        <v>80</v>
      </c>
      <c r="C2" s="1">
        <v>202066</v>
      </c>
      <c r="D2" t="s">
        <v>174</v>
      </c>
      <c r="E2">
        <f>2956*2945*33</f>
        <v>287278860</v>
      </c>
      <c r="F2">
        <f>E2*0.415*0.415</f>
        <v>49476601.663499996</v>
      </c>
      <c r="G2">
        <v>619651.52</v>
      </c>
      <c r="H2">
        <f>G2/F2*100</f>
        <v>1.2524132603414653</v>
      </c>
      <c r="J2" t="s">
        <v>8</v>
      </c>
      <c r="K2" s="25" t="s">
        <v>9</v>
      </c>
      <c r="L2">
        <v>202066</v>
      </c>
      <c r="M2" t="s">
        <v>125</v>
      </c>
      <c r="N2">
        <f>2951*2946*31</f>
        <v>269503026</v>
      </c>
      <c r="O2">
        <f>N2*0.415*0.415</f>
        <v>46415158.652849995</v>
      </c>
      <c r="P2">
        <v>902749.52</v>
      </c>
      <c r="Q2">
        <f>P2/O2*100</f>
        <v>1.9449454579092968</v>
      </c>
      <c r="R2" s="1"/>
      <c r="S2" t="s">
        <v>8</v>
      </c>
      <c r="T2" s="25" t="s">
        <v>11</v>
      </c>
      <c r="U2">
        <v>202066</v>
      </c>
      <c r="V2" t="s">
        <v>126</v>
      </c>
      <c r="W2">
        <f>2941*2953*35</f>
        <v>303967055</v>
      </c>
      <c r="X2">
        <f>W2*0.415*0.415</f>
        <v>52350726.047374994</v>
      </c>
      <c r="Y2">
        <v>762657.18</v>
      </c>
      <c r="Z2">
        <f>Y2/X2*100</f>
        <v>1.4568225458990396</v>
      </c>
    </row>
    <row r="3" spans="1:26" x14ac:dyDescent="0.2">
      <c r="A3" s="11" t="s">
        <v>13</v>
      </c>
      <c r="B3" s="25" t="s">
        <v>80</v>
      </c>
      <c r="C3" s="1">
        <v>202065</v>
      </c>
      <c r="D3" t="s">
        <v>175</v>
      </c>
      <c r="E3">
        <f>2953*2950*36</f>
        <v>313608600</v>
      </c>
      <c r="F3">
        <f t="shared" ref="F3:F30" si="0">E3*0.415*0.415</f>
        <v>54011241.134999998</v>
      </c>
      <c r="G3">
        <v>351005.36</v>
      </c>
      <c r="H3">
        <f t="shared" ref="H3:H30" si="1">G3/F3*100</f>
        <v>0.64987464206324985</v>
      </c>
      <c r="J3" t="s">
        <v>13</v>
      </c>
      <c r="K3" s="25" t="s">
        <v>9</v>
      </c>
      <c r="L3">
        <v>202065</v>
      </c>
      <c r="M3" t="s">
        <v>127</v>
      </c>
      <c r="N3">
        <f>2950*2943*14</f>
        <v>121545900</v>
      </c>
      <c r="O3">
        <f t="shared" ref="O3:O30" si="2">N3*0.415*0.415</f>
        <v>20933242.627499998</v>
      </c>
      <c r="P3">
        <v>152032.54999999999</v>
      </c>
      <c r="Q3">
        <f t="shared" ref="Q3:Q28" si="3">P3/O3*100</f>
        <v>0.72627329031324972</v>
      </c>
      <c r="R3" s="1"/>
      <c r="S3" t="s">
        <v>13</v>
      </c>
      <c r="T3" s="25" t="s">
        <v>11</v>
      </c>
      <c r="U3">
        <v>202065</v>
      </c>
      <c r="V3" t="s">
        <v>128</v>
      </c>
      <c r="W3">
        <f>2950*2943*26</f>
        <v>225728100</v>
      </c>
      <c r="X3">
        <f t="shared" ref="X3:X30" si="4">W3*0.415*0.415</f>
        <v>38876022.022500001</v>
      </c>
      <c r="Y3">
        <v>236540.89</v>
      </c>
      <c r="Z3">
        <f t="shared" ref="Z3:Z10" si="5">Y3/X3*100</f>
        <v>0.6084493157841584</v>
      </c>
    </row>
    <row r="4" spans="1:26" x14ac:dyDescent="0.2">
      <c r="A4" s="11" t="s">
        <v>17</v>
      </c>
      <c r="B4" s="25" t="s">
        <v>80</v>
      </c>
      <c r="C4" s="1">
        <v>201071</v>
      </c>
      <c r="D4" t="s">
        <v>177</v>
      </c>
      <c r="E4">
        <f>2947*2953*42</f>
        <v>365504622</v>
      </c>
      <c r="F4">
        <f t="shared" si="0"/>
        <v>62949033.523949996</v>
      </c>
      <c r="G4">
        <v>863382.63</v>
      </c>
      <c r="H4">
        <f t="shared" si="1"/>
        <v>1.3715581982231895</v>
      </c>
      <c r="J4" t="s">
        <v>286</v>
      </c>
      <c r="K4" s="25" t="s">
        <v>9</v>
      </c>
      <c r="L4">
        <v>201071</v>
      </c>
      <c r="M4" t="s">
        <v>287</v>
      </c>
      <c r="N4">
        <f>2956*2952*22</f>
        <v>191974464</v>
      </c>
      <c r="O4">
        <f t="shared" si="2"/>
        <v>33062802.062399998</v>
      </c>
      <c r="P4">
        <v>255369.27</v>
      </c>
      <c r="Q4">
        <f t="shared" si="3"/>
        <v>0.77237636882087957</v>
      </c>
      <c r="R4" s="1"/>
      <c r="S4" t="s">
        <v>286</v>
      </c>
      <c r="T4" s="25" t="s">
        <v>11</v>
      </c>
      <c r="U4">
        <v>201071</v>
      </c>
      <c r="V4" t="s">
        <v>288</v>
      </c>
      <c r="W4">
        <f>2951*2957*23</f>
        <v>200700461</v>
      </c>
      <c r="X4">
        <f t="shared" si="4"/>
        <v>34565636.895724997</v>
      </c>
      <c r="Y4">
        <v>183334.07</v>
      </c>
      <c r="Z4">
        <f t="shared" si="5"/>
        <v>0.53039401690490584</v>
      </c>
    </row>
    <row r="5" spans="1:26" x14ac:dyDescent="0.2">
      <c r="A5" s="11" t="s">
        <v>20</v>
      </c>
      <c r="B5" s="25" t="s">
        <v>80</v>
      </c>
      <c r="C5" s="1">
        <v>201080</v>
      </c>
      <c r="D5" t="s">
        <v>178</v>
      </c>
      <c r="E5">
        <f>2950*2944*46</f>
        <v>399500800</v>
      </c>
      <c r="F5">
        <f t="shared" si="0"/>
        <v>68804025.280000001</v>
      </c>
      <c r="G5">
        <v>581783.77</v>
      </c>
      <c r="H5">
        <f t="shared" si="1"/>
        <v>0.84556647322945699</v>
      </c>
      <c r="J5" t="s">
        <v>283</v>
      </c>
      <c r="K5" s="25" t="s">
        <v>9</v>
      </c>
      <c r="L5">
        <v>201080</v>
      </c>
      <c r="M5" t="s">
        <v>281</v>
      </c>
      <c r="N5">
        <f>2953*2954*27</f>
        <v>235525374</v>
      </c>
      <c r="O5">
        <f t="shared" si="2"/>
        <v>40563357.537149996</v>
      </c>
      <c r="P5">
        <v>96294.080000000002</v>
      </c>
      <c r="Q5">
        <f t="shared" si="3"/>
        <v>0.237391788664952</v>
      </c>
      <c r="R5" s="1"/>
      <c r="S5" t="s">
        <v>283</v>
      </c>
      <c r="T5" s="25" t="s">
        <v>11</v>
      </c>
      <c r="U5">
        <v>201080</v>
      </c>
      <c r="V5" t="s">
        <v>282</v>
      </c>
      <c r="W5">
        <f>2950*2956*31</f>
        <v>270326200</v>
      </c>
      <c r="X5">
        <f t="shared" si="4"/>
        <v>46556929.794999994</v>
      </c>
      <c r="Y5">
        <v>104037.11</v>
      </c>
      <c r="Z5">
        <f t="shared" si="5"/>
        <v>0.22346213648128729</v>
      </c>
    </row>
    <row r="6" spans="1:26" x14ac:dyDescent="0.2">
      <c r="A6" s="11" t="s">
        <v>23</v>
      </c>
      <c r="B6" s="25" t="s">
        <v>80</v>
      </c>
      <c r="C6" s="1">
        <v>202095</v>
      </c>
      <c r="D6" t="s">
        <v>179</v>
      </c>
      <c r="E6">
        <f>2953*2943*47</f>
        <v>408461913</v>
      </c>
      <c r="F6">
        <f t="shared" si="0"/>
        <v>70347352.966424987</v>
      </c>
      <c r="G6">
        <v>495199.2</v>
      </c>
      <c r="H6">
        <f t="shared" si="1"/>
        <v>0.70393437580564844</v>
      </c>
      <c r="J6" t="s">
        <v>284</v>
      </c>
      <c r="K6" s="25" t="s">
        <v>9</v>
      </c>
      <c r="L6">
        <v>202095</v>
      </c>
      <c r="M6" t="s">
        <v>285</v>
      </c>
      <c r="N6">
        <f>2951*2953*25</f>
        <v>217857575</v>
      </c>
      <c r="O6">
        <f t="shared" si="2"/>
        <v>37520520.854374997</v>
      </c>
      <c r="P6">
        <v>153536.51</v>
      </c>
      <c r="Q6">
        <f t="shared" si="3"/>
        <v>0.40920676606784689</v>
      </c>
      <c r="R6" s="1"/>
      <c r="S6" t="s">
        <v>284</v>
      </c>
      <c r="T6" s="25" t="s">
        <v>11</v>
      </c>
      <c r="U6">
        <v>202095</v>
      </c>
      <c r="V6" t="s">
        <v>289</v>
      </c>
      <c r="W6">
        <f>2940*2957*23</f>
        <v>199952340</v>
      </c>
      <c r="X6">
        <f t="shared" si="4"/>
        <v>34436791.756499998</v>
      </c>
      <c r="Y6">
        <v>90787.66</v>
      </c>
      <c r="Z6">
        <f t="shared" si="5"/>
        <v>0.26363565062028083</v>
      </c>
    </row>
    <row r="7" spans="1:26" x14ac:dyDescent="0.2">
      <c r="A7" s="11" t="s">
        <v>25</v>
      </c>
      <c r="B7" s="30" t="s">
        <v>80</v>
      </c>
      <c r="C7" s="1">
        <v>201083</v>
      </c>
      <c r="D7" t="s">
        <v>293</v>
      </c>
      <c r="E7">
        <f>2953*2957*32</f>
        <v>279424672</v>
      </c>
      <c r="F7">
        <f t="shared" si="0"/>
        <v>48123914.135199994</v>
      </c>
      <c r="G7">
        <v>270492.95</v>
      </c>
      <c r="H7">
        <f t="shared" si="1"/>
        <v>0.56207595508560126</v>
      </c>
      <c r="J7" t="s">
        <v>25</v>
      </c>
      <c r="K7" s="25" t="s">
        <v>9</v>
      </c>
      <c r="L7">
        <v>201083</v>
      </c>
      <c r="M7" t="s">
        <v>131</v>
      </c>
      <c r="N7">
        <f>2953*2952*28</f>
        <v>244083168</v>
      </c>
      <c r="O7">
        <f t="shared" si="2"/>
        <v>42037223.608799994</v>
      </c>
      <c r="P7">
        <v>392206</v>
      </c>
      <c r="Q7">
        <f t="shared" si="3"/>
        <v>0.93299691637555326</v>
      </c>
      <c r="R7" s="1"/>
      <c r="S7" t="s">
        <v>25</v>
      </c>
      <c r="T7" s="25" t="s">
        <v>11</v>
      </c>
      <c r="U7">
        <v>201083</v>
      </c>
      <c r="V7" t="s">
        <v>132</v>
      </c>
      <c r="W7">
        <f>2952*2951*29</f>
        <v>252629208</v>
      </c>
      <c r="X7">
        <f t="shared" si="4"/>
        <v>43509065.347799994</v>
      </c>
      <c r="Y7">
        <v>186364.89</v>
      </c>
      <c r="Z7">
        <f t="shared" si="5"/>
        <v>0.42833576982233063</v>
      </c>
    </row>
    <row r="8" spans="1:26" x14ac:dyDescent="0.2">
      <c r="A8" s="11" t="s">
        <v>28</v>
      </c>
      <c r="B8" s="25" t="s">
        <v>80</v>
      </c>
      <c r="C8" s="1">
        <v>202096</v>
      </c>
      <c r="D8" t="s">
        <v>180</v>
      </c>
      <c r="E8">
        <f>2960*2943*33</f>
        <v>287472240</v>
      </c>
      <c r="F8">
        <f t="shared" si="0"/>
        <v>49509906.533999994</v>
      </c>
      <c r="G8">
        <v>147966.62</v>
      </c>
      <c r="H8">
        <f t="shared" si="1"/>
        <v>0.29886265266606132</v>
      </c>
      <c r="J8" t="s">
        <v>28</v>
      </c>
      <c r="K8" s="25" t="s">
        <v>9</v>
      </c>
      <c r="L8">
        <v>202096</v>
      </c>
      <c r="M8" t="s">
        <v>133</v>
      </c>
      <c r="N8">
        <f>2940*2952*20</f>
        <v>173577600</v>
      </c>
      <c r="O8">
        <f t="shared" si="2"/>
        <v>29894402.16</v>
      </c>
      <c r="P8">
        <v>216190.86</v>
      </c>
      <c r="Q8">
        <f t="shared" si="3"/>
        <v>0.72318174768275745</v>
      </c>
      <c r="R8" s="1"/>
      <c r="S8" t="s">
        <v>28</v>
      </c>
      <c r="T8" s="25" t="s">
        <v>11</v>
      </c>
      <c r="U8">
        <v>202096</v>
      </c>
      <c r="V8" t="s">
        <v>134</v>
      </c>
      <c r="W8">
        <f>2951*2943*24</f>
        <v>208435032</v>
      </c>
      <c r="X8">
        <f t="shared" si="4"/>
        <v>35897723.386199996</v>
      </c>
      <c r="Y8">
        <v>58456.32</v>
      </c>
      <c r="Z8">
        <f t="shared" si="5"/>
        <v>0.16284130158090224</v>
      </c>
    </row>
    <row r="9" spans="1:26" x14ac:dyDescent="0.2">
      <c r="A9" s="11" t="s">
        <v>31</v>
      </c>
      <c r="B9" s="30" t="s">
        <v>80</v>
      </c>
      <c r="C9" s="1">
        <v>202097</v>
      </c>
      <c r="D9" t="s">
        <v>181</v>
      </c>
      <c r="E9">
        <f>2947*2946*29</f>
        <v>251773998</v>
      </c>
      <c r="F9">
        <f t="shared" si="0"/>
        <v>43361776.805550002</v>
      </c>
      <c r="G9">
        <v>469832.93</v>
      </c>
      <c r="H9">
        <f t="shared" si="1"/>
        <v>1.0835186300296271</v>
      </c>
      <c r="J9" t="s">
        <v>31</v>
      </c>
      <c r="K9" s="25" t="s">
        <v>9</v>
      </c>
      <c r="L9">
        <v>202097</v>
      </c>
      <c r="M9" t="s">
        <v>135</v>
      </c>
      <c r="N9">
        <f>2954*2943*16</f>
        <v>139097952</v>
      </c>
      <c r="O9">
        <f t="shared" si="2"/>
        <v>23956144.783199999</v>
      </c>
      <c r="P9">
        <v>279115.34999999998</v>
      </c>
      <c r="Q9">
        <f t="shared" si="3"/>
        <v>1.1651096306436519</v>
      </c>
      <c r="R9" s="1"/>
      <c r="S9" t="s">
        <v>31</v>
      </c>
      <c r="T9" s="25" t="s">
        <v>11</v>
      </c>
      <c r="U9">
        <v>202097</v>
      </c>
      <c r="V9" t="s">
        <v>136</v>
      </c>
      <c r="W9">
        <f>2939*2945*25</f>
        <v>216383875</v>
      </c>
      <c r="X9">
        <f t="shared" si="4"/>
        <v>37266712.871874996</v>
      </c>
      <c r="Y9">
        <v>103365.75</v>
      </c>
      <c r="Z9">
        <f t="shared" si="5"/>
        <v>0.27736750046986203</v>
      </c>
    </row>
    <row r="10" spans="1:26" x14ac:dyDescent="0.2">
      <c r="A10" s="11" t="s">
        <v>34</v>
      </c>
      <c r="B10" s="25" t="s">
        <v>80</v>
      </c>
      <c r="C10" s="1">
        <v>202067</v>
      </c>
      <c r="D10" t="s">
        <v>182</v>
      </c>
      <c r="E10">
        <f>2952*2957*34</f>
        <v>296788176</v>
      </c>
      <c r="F10">
        <f t="shared" si="0"/>
        <v>51114343.611599997</v>
      </c>
      <c r="G10">
        <v>1593995.47</v>
      </c>
      <c r="H10">
        <f t="shared" si="1"/>
        <v>3.1184895615841488</v>
      </c>
      <c r="J10" t="s">
        <v>290</v>
      </c>
      <c r="K10" s="25" t="s">
        <v>9</v>
      </c>
      <c r="L10">
        <v>202067</v>
      </c>
      <c r="M10" t="s">
        <v>291</v>
      </c>
      <c r="N10">
        <f>2946*2949*26</f>
        <v>225881604</v>
      </c>
      <c r="O10">
        <f t="shared" si="2"/>
        <v>38902459.248899996</v>
      </c>
      <c r="P10">
        <v>93844.68</v>
      </c>
      <c r="Q10">
        <f t="shared" si="3"/>
        <v>0.24123071346100963</v>
      </c>
      <c r="R10" s="1"/>
      <c r="S10" t="s">
        <v>290</v>
      </c>
      <c r="T10" s="25" t="s">
        <v>11</v>
      </c>
      <c r="U10">
        <v>202067</v>
      </c>
      <c r="V10" t="s">
        <v>292</v>
      </c>
      <c r="W10">
        <f>2960*2958*21</f>
        <v>183869280</v>
      </c>
      <c r="X10">
        <f t="shared" si="4"/>
        <v>31666886.748</v>
      </c>
      <c r="Y10">
        <v>102126.43</v>
      </c>
      <c r="Z10">
        <f t="shared" si="5"/>
        <v>0.32250227441903501</v>
      </c>
    </row>
    <row r="11" spans="1:26" s="3" customFormat="1" x14ac:dyDescent="0.2">
      <c r="A11" s="12" t="s">
        <v>37</v>
      </c>
      <c r="B11" s="27" t="s">
        <v>80</v>
      </c>
      <c r="C11" s="5">
        <v>202099</v>
      </c>
      <c r="D11" s="3" t="s">
        <v>183</v>
      </c>
      <c r="E11" s="3">
        <f>2952*2951*31</f>
        <v>270051912</v>
      </c>
      <c r="F11" s="3">
        <f t="shared" si="0"/>
        <v>46509690.544199996</v>
      </c>
      <c r="G11" s="3">
        <v>904989.5</v>
      </c>
      <c r="H11" s="3">
        <f t="shared" si="1"/>
        <v>1.9458084743435407</v>
      </c>
      <c r="I11" s="19"/>
      <c r="J11" s="3" t="s">
        <v>37</v>
      </c>
      <c r="K11" s="27" t="s">
        <v>9</v>
      </c>
      <c r="L11" s="3">
        <v>202099</v>
      </c>
      <c r="M11" s="3" t="s">
        <v>137</v>
      </c>
      <c r="N11" s="3">
        <f>2941*2943*25</f>
        <v>216384075</v>
      </c>
      <c r="O11" s="3">
        <f t="shared" si="2"/>
        <v>37266747.316874996</v>
      </c>
      <c r="P11" s="3">
        <v>138056.20000000001</v>
      </c>
      <c r="Q11" s="3">
        <f t="shared" si="3"/>
        <v>0.37045411778528331</v>
      </c>
      <c r="R11" s="5"/>
      <c r="S11" s="3" t="s">
        <v>37</v>
      </c>
      <c r="T11" s="27" t="s">
        <v>11</v>
      </c>
      <c r="U11" s="3">
        <v>202099</v>
      </c>
      <c r="V11" s="3" t="s">
        <v>138</v>
      </c>
      <c r="W11" s="3">
        <f>2935*2945*24</f>
        <v>207445800</v>
      </c>
      <c r="X11" s="3">
        <f t="shared" si="4"/>
        <v>35727352.905000001</v>
      </c>
      <c r="Y11" s="3">
        <v>49637.55</v>
      </c>
      <c r="Z11" s="3">
        <f>Y11/X11*100</f>
        <v>0.13893430652975491</v>
      </c>
    </row>
    <row r="12" spans="1:26" x14ac:dyDescent="0.2">
      <c r="A12" s="17" t="s">
        <v>40</v>
      </c>
      <c r="B12" s="25" t="s">
        <v>80</v>
      </c>
      <c r="C12" s="14">
        <v>203007</v>
      </c>
      <c r="D12" s="10" t="s">
        <v>184</v>
      </c>
      <c r="E12" s="10">
        <f>2958*2960*36</f>
        <v>315204480</v>
      </c>
      <c r="F12">
        <f t="shared" si="0"/>
        <v>54286091.567999989</v>
      </c>
      <c r="G12" s="10">
        <v>6012.07</v>
      </c>
      <c r="H12" s="10">
        <f t="shared" si="1"/>
        <v>1.1074788820390844E-2</v>
      </c>
      <c r="J12" s="6" t="s">
        <v>40</v>
      </c>
      <c r="K12" s="25" t="s">
        <v>9</v>
      </c>
      <c r="L12" s="6">
        <v>203007</v>
      </c>
      <c r="M12" t="s">
        <v>139</v>
      </c>
      <c r="N12">
        <f>2961*2955*27</f>
        <v>236243385</v>
      </c>
      <c r="O12">
        <f t="shared" si="2"/>
        <v>40687016.981624991</v>
      </c>
      <c r="P12">
        <v>1613.67</v>
      </c>
      <c r="Q12">
        <f t="shared" si="3"/>
        <v>3.9660562993073765E-3</v>
      </c>
      <c r="R12" s="1"/>
      <c r="S12" s="6" t="s">
        <v>40</v>
      </c>
      <c r="T12" s="25" t="s">
        <v>11</v>
      </c>
      <c r="U12" s="6">
        <v>203007</v>
      </c>
      <c r="V12" t="s">
        <v>140</v>
      </c>
      <c r="W12">
        <f>2954*2984*47</f>
        <v>414292592</v>
      </c>
      <c r="X12">
        <f t="shared" si="4"/>
        <v>71351541.657199994</v>
      </c>
      <c r="Y12">
        <v>0</v>
      </c>
      <c r="Z12">
        <f t="shared" ref="Z12:Z30" si="6">Y12/X12*100</f>
        <v>0</v>
      </c>
    </row>
    <row r="13" spans="1:26" x14ac:dyDescent="0.2">
      <c r="A13" s="11" t="s">
        <v>43</v>
      </c>
      <c r="B13" s="25" t="s">
        <v>80</v>
      </c>
      <c r="C13" s="14">
        <v>202062</v>
      </c>
      <c r="D13" s="6" t="s">
        <v>185</v>
      </c>
      <c r="E13">
        <f>2953*2953*27</f>
        <v>235445643</v>
      </c>
      <c r="F13">
        <f t="shared" si="0"/>
        <v>40549625.865674995</v>
      </c>
      <c r="G13" s="6">
        <v>23549</v>
      </c>
      <c r="H13">
        <f t="shared" si="1"/>
        <v>5.8074518561548751E-2</v>
      </c>
      <c r="J13" s="6" t="s">
        <v>43</v>
      </c>
      <c r="K13" s="25" t="s">
        <v>9</v>
      </c>
      <c r="L13" s="6">
        <v>202062</v>
      </c>
      <c r="M13" t="s">
        <v>116</v>
      </c>
      <c r="N13">
        <f>2950*2955*23</f>
        <v>200496750</v>
      </c>
      <c r="O13">
        <f t="shared" si="2"/>
        <v>34530552.768749997</v>
      </c>
      <c r="P13">
        <v>22099.11</v>
      </c>
      <c r="Q13">
        <f t="shared" si="3"/>
        <v>6.3998714842467275E-2</v>
      </c>
      <c r="R13" s="1"/>
      <c r="S13" s="6" t="s">
        <v>43</v>
      </c>
      <c r="T13" s="25" t="s">
        <v>11</v>
      </c>
      <c r="U13" s="6">
        <v>202062</v>
      </c>
      <c r="V13" t="s">
        <v>141</v>
      </c>
      <c r="W13">
        <f>2953*2961*24</f>
        <v>209851992</v>
      </c>
      <c r="X13">
        <f t="shared" si="4"/>
        <v>36141759.322199993</v>
      </c>
      <c r="Y13">
        <v>5846.2</v>
      </c>
      <c r="Z13">
        <f t="shared" si="6"/>
        <v>1.6175748247011831E-2</v>
      </c>
    </row>
    <row r="14" spans="1:26" x14ac:dyDescent="0.2">
      <c r="A14" s="11" t="s">
        <v>46</v>
      </c>
      <c r="B14" s="25" t="s">
        <v>80</v>
      </c>
      <c r="C14" s="1">
        <v>202018</v>
      </c>
      <c r="D14" s="6" t="s">
        <v>186</v>
      </c>
      <c r="E14">
        <f>2980*2966*48</f>
        <v>424256640</v>
      </c>
      <c r="F14">
        <f t="shared" si="0"/>
        <v>73067599.824000001</v>
      </c>
      <c r="G14">
        <v>0</v>
      </c>
      <c r="H14">
        <f t="shared" si="1"/>
        <v>0</v>
      </c>
      <c r="J14" s="6" t="s">
        <v>46</v>
      </c>
      <c r="K14" s="28" t="s">
        <v>9</v>
      </c>
      <c r="L14" s="2">
        <v>202018</v>
      </c>
      <c r="M14" t="s">
        <v>142</v>
      </c>
      <c r="N14">
        <f>2943*2971*54</f>
        <v>472157262</v>
      </c>
      <c r="O14">
        <f t="shared" si="2"/>
        <v>81317284.447949991</v>
      </c>
      <c r="P14">
        <v>0</v>
      </c>
      <c r="Q14">
        <f t="shared" si="3"/>
        <v>0</v>
      </c>
      <c r="R14" s="1"/>
      <c r="S14" s="6" t="s">
        <v>46</v>
      </c>
      <c r="T14" s="25" t="s">
        <v>11</v>
      </c>
      <c r="U14" s="2">
        <v>202018</v>
      </c>
      <c r="V14" t="s">
        <v>143</v>
      </c>
      <c r="W14">
        <f>2971*2971*23</f>
        <v>203017343</v>
      </c>
      <c r="X14">
        <f t="shared" si="4"/>
        <v>34964661.898175001</v>
      </c>
      <c r="Y14">
        <v>0</v>
      </c>
      <c r="Z14">
        <f t="shared" si="6"/>
        <v>0</v>
      </c>
    </row>
    <row r="15" spans="1:26" x14ac:dyDescent="0.2">
      <c r="A15" s="11" t="s">
        <v>49</v>
      </c>
      <c r="B15" s="25" t="s">
        <v>80</v>
      </c>
      <c r="C15" s="1">
        <v>202100</v>
      </c>
      <c r="D15" t="s">
        <v>187</v>
      </c>
      <c r="E15">
        <f>2963*2950*43</f>
        <v>375856550</v>
      </c>
      <c r="F15">
        <f t="shared" si="0"/>
        <v>64731894.323749997</v>
      </c>
      <c r="G15">
        <v>1056.69</v>
      </c>
      <c r="H15">
        <f t="shared" si="1"/>
        <v>1.6324101295646816E-3</v>
      </c>
      <c r="J15" s="6" t="s">
        <v>49</v>
      </c>
      <c r="K15" s="28" t="s">
        <v>9</v>
      </c>
      <c r="L15" s="2">
        <v>202100</v>
      </c>
      <c r="M15" t="s">
        <v>144</v>
      </c>
      <c r="N15">
        <f>2952*2959*29</f>
        <v>253314072</v>
      </c>
      <c r="O15">
        <f t="shared" si="2"/>
        <v>43627016.050199993</v>
      </c>
      <c r="P15">
        <v>28099.78</v>
      </c>
      <c r="Q15">
        <f t="shared" si="3"/>
        <v>6.4409126600972713E-2</v>
      </c>
      <c r="R15" s="1"/>
      <c r="S15" s="6" t="s">
        <v>49</v>
      </c>
      <c r="T15" s="25" t="s">
        <v>11</v>
      </c>
      <c r="U15" s="2">
        <v>202100</v>
      </c>
      <c r="V15" t="s">
        <v>145</v>
      </c>
      <c r="W15">
        <f>2950*2956*27</f>
        <v>235445400</v>
      </c>
      <c r="X15">
        <f t="shared" si="4"/>
        <v>40549584.015000001</v>
      </c>
      <c r="Y15">
        <v>4442.43</v>
      </c>
      <c r="Z15">
        <f t="shared" si="6"/>
        <v>1.0955550119470197E-2</v>
      </c>
    </row>
    <row r="16" spans="1:26" x14ac:dyDescent="0.2">
      <c r="A16" s="11" t="s">
        <v>52</v>
      </c>
      <c r="B16" s="25" t="s">
        <v>80</v>
      </c>
      <c r="C16" s="1">
        <v>202094</v>
      </c>
      <c r="D16" t="s">
        <v>188</v>
      </c>
      <c r="E16">
        <f>2946*2950*35</f>
        <v>304174500</v>
      </c>
      <c r="F16">
        <f t="shared" si="0"/>
        <v>52386453.262499996</v>
      </c>
      <c r="G16">
        <v>64918.02</v>
      </c>
      <c r="H16">
        <f t="shared" si="1"/>
        <v>0.12392138798690255</v>
      </c>
      <c r="J16" s="6" t="s">
        <v>52</v>
      </c>
      <c r="K16" s="28" t="s">
        <v>9</v>
      </c>
      <c r="L16" s="2">
        <v>202094</v>
      </c>
      <c r="M16" t="s">
        <v>146</v>
      </c>
      <c r="N16">
        <f>2955*2963*24</f>
        <v>210135960</v>
      </c>
      <c r="O16">
        <f t="shared" si="2"/>
        <v>36190665.710999995</v>
      </c>
      <c r="P16">
        <v>38891.57</v>
      </c>
      <c r="Q16">
        <f t="shared" si="3"/>
        <v>0.10746298592727759</v>
      </c>
      <c r="R16" s="1"/>
      <c r="S16" s="6" t="s">
        <v>52</v>
      </c>
      <c r="T16" s="25" t="s">
        <v>11</v>
      </c>
      <c r="U16" s="2">
        <v>202094</v>
      </c>
      <c r="V16" t="s">
        <v>147</v>
      </c>
      <c r="W16">
        <f>2958*2956*24</f>
        <v>209852352</v>
      </c>
      <c r="X16">
        <f t="shared" si="4"/>
        <v>36141821.323199995</v>
      </c>
      <c r="Y16">
        <v>33231.39</v>
      </c>
      <c r="Z16">
        <f t="shared" si="6"/>
        <v>9.1947192430693186E-2</v>
      </c>
    </row>
    <row r="17" spans="1:26" x14ac:dyDescent="0.2">
      <c r="A17" s="11" t="s">
        <v>55</v>
      </c>
      <c r="B17" s="25" t="s">
        <v>80</v>
      </c>
      <c r="C17" s="1">
        <v>202068</v>
      </c>
      <c r="D17" t="s">
        <v>189</v>
      </c>
      <c r="E17">
        <f>2946*2949*26</f>
        <v>225881604</v>
      </c>
      <c r="F17">
        <f t="shared" si="0"/>
        <v>38902459.248899996</v>
      </c>
      <c r="G17">
        <v>29126.07</v>
      </c>
      <c r="H17">
        <f t="shared" si="1"/>
        <v>7.4869482707121057E-2</v>
      </c>
      <c r="J17" s="6" t="s">
        <v>55</v>
      </c>
      <c r="K17" s="28" t="s">
        <v>9</v>
      </c>
      <c r="L17" s="2">
        <v>202068</v>
      </c>
      <c r="M17" t="s">
        <v>148</v>
      </c>
      <c r="N17">
        <f>2954*2960*23</f>
        <v>201108320</v>
      </c>
      <c r="O17">
        <f t="shared" si="2"/>
        <v>34635880.412</v>
      </c>
      <c r="P17">
        <v>2477.34</v>
      </c>
      <c r="Q17">
        <f t="shared" si="3"/>
        <v>7.1525249842983559E-3</v>
      </c>
      <c r="R17" s="1"/>
      <c r="S17" s="6" t="s">
        <v>55</v>
      </c>
      <c r="T17" s="25" t="s">
        <v>11</v>
      </c>
      <c r="U17" s="2">
        <v>202068</v>
      </c>
      <c r="V17" t="s">
        <v>149</v>
      </c>
      <c r="W17">
        <f>2971*2963*29</f>
        <v>255289117</v>
      </c>
      <c r="X17">
        <f t="shared" si="4"/>
        <v>43967168.175324991</v>
      </c>
      <c r="Y17">
        <v>1006.89</v>
      </c>
      <c r="Z17">
        <f t="shared" si="6"/>
        <v>2.2900951818977536E-3</v>
      </c>
    </row>
    <row r="18" spans="1:26" x14ac:dyDescent="0.2">
      <c r="A18" s="11" t="s">
        <v>58</v>
      </c>
      <c r="B18" s="25" t="s">
        <v>80</v>
      </c>
      <c r="C18" s="1">
        <v>202098</v>
      </c>
      <c r="D18" t="s">
        <v>190</v>
      </c>
      <c r="E18">
        <f>2949*2957*69</f>
        <v>601693317</v>
      </c>
      <c r="F18">
        <f t="shared" si="0"/>
        <v>103626631.52032499</v>
      </c>
      <c r="G18">
        <v>0</v>
      </c>
      <c r="H18">
        <f t="shared" si="1"/>
        <v>0</v>
      </c>
      <c r="J18" s="6" t="s">
        <v>58</v>
      </c>
      <c r="K18" s="28" t="s">
        <v>9</v>
      </c>
      <c r="L18" s="2">
        <v>202098</v>
      </c>
      <c r="M18" t="s">
        <v>150</v>
      </c>
      <c r="N18">
        <f>2979*3005*34</f>
        <v>304364430</v>
      </c>
      <c r="O18">
        <f t="shared" si="2"/>
        <v>52419163.956749991</v>
      </c>
      <c r="P18">
        <v>0</v>
      </c>
      <c r="Q18">
        <f t="shared" si="3"/>
        <v>0</v>
      </c>
      <c r="R18" s="1"/>
      <c r="S18" s="6" t="s">
        <v>58</v>
      </c>
      <c r="T18" s="25" t="s">
        <v>11</v>
      </c>
      <c r="U18" s="2">
        <v>202098</v>
      </c>
      <c r="V18" t="s">
        <v>151</v>
      </c>
      <c r="W18">
        <f>2970*2957*36</f>
        <v>316162440</v>
      </c>
      <c r="X18">
        <f t="shared" si="4"/>
        <v>54451076.228999995</v>
      </c>
      <c r="Y18">
        <v>0</v>
      </c>
      <c r="Z18">
        <f t="shared" si="6"/>
        <v>0</v>
      </c>
    </row>
    <row r="19" spans="1:26" x14ac:dyDescent="0.2">
      <c r="A19" s="11" t="s">
        <v>61</v>
      </c>
      <c r="B19" s="25" t="s">
        <v>80</v>
      </c>
      <c r="C19" s="1">
        <v>202069</v>
      </c>
      <c r="D19" t="s">
        <v>191</v>
      </c>
      <c r="E19">
        <f>2951*2952*31</f>
        <v>270051912</v>
      </c>
      <c r="F19">
        <f t="shared" si="0"/>
        <v>46509690.544199996</v>
      </c>
      <c r="G19">
        <v>1016.91</v>
      </c>
      <c r="H19">
        <f t="shared" si="1"/>
        <v>2.1864475727560264E-3</v>
      </c>
      <c r="J19" s="6" t="s">
        <v>61</v>
      </c>
      <c r="K19" s="28" t="s">
        <v>9</v>
      </c>
      <c r="L19" s="2">
        <v>202069</v>
      </c>
      <c r="M19" t="s">
        <v>152</v>
      </c>
      <c r="N19">
        <f>2939*2949*48</f>
        <v>416021328</v>
      </c>
      <c r="O19">
        <f t="shared" si="2"/>
        <v>71649273.2148</v>
      </c>
      <c r="P19">
        <v>221.37</v>
      </c>
      <c r="Q19">
        <f t="shared" si="3"/>
        <v>3.0896335729232972E-4</v>
      </c>
      <c r="R19" s="1"/>
      <c r="S19" s="6" t="s">
        <v>61</v>
      </c>
      <c r="T19" s="25" t="s">
        <v>11</v>
      </c>
      <c r="U19" s="2">
        <v>202069</v>
      </c>
      <c r="V19" t="s">
        <v>153</v>
      </c>
      <c r="W19">
        <f>2971*2996*43</f>
        <v>382747988</v>
      </c>
      <c r="X19">
        <f t="shared" si="4"/>
        <v>65918772.233299986</v>
      </c>
      <c r="Y19">
        <v>0</v>
      </c>
      <c r="Z19">
        <f t="shared" si="6"/>
        <v>0</v>
      </c>
    </row>
    <row r="20" spans="1:26" x14ac:dyDescent="0.2">
      <c r="A20" s="11" t="s">
        <v>64</v>
      </c>
      <c r="B20" s="25" t="s">
        <v>80</v>
      </c>
      <c r="C20" s="1">
        <v>203042</v>
      </c>
      <c r="D20" t="s">
        <v>192</v>
      </c>
      <c r="E20">
        <f>2947*2948*33</f>
        <v>286695948</v>
      </c>
      <c r="F20">
        <f t="shared" si="0"/>
        <v>49376209.644299991</v>
      </c>
      <c r="G20">
        <v>1406.34</v>
      </c>
      <c r="H20">
        <f t="shared" si="1"/>
        <v>2.8482137655585485E-3</v>
      </c>
      <c r="J20" s="6" t="s">
        <v>64</v>
      </c>
      <c r="K20" s="28" t="s">
        <v>9</v>
      </c>
      <c r="L20" s="2">
        <v>203042</v>
      </c>
      <c r="M20" t="s">
        <v>154</v>
      </c>
      <c r="N20">
        <f>2953*2957*26</f>
        <v>227032546</v>
      </c>
      <c r="O20">
        <f t="shared" si="2"/>
        <v>39100680.234849997</v>
      </c>
      <c r="P20">
        <v>204.52</v>
      </c>
      <c r="Q20">
        <f t="shared" si="3"/>
        <v>5.2305995387188597E-4</v>
      </c>
      <c r="R20" s="1"/>
      <c r="S20" s="6" t="s">
        <v>64</v>
      </c>
      <c r="T20" s="25" t="s">
        <v>11</v>
      </c>
      <c r="U20" s="2">
        <v>203042</v>
      </c>
      <c r="V20" t="s">
        <v>155</v>
      </c>
      <c r="W20">
        <f>2962*2943*40</f>
        <v>348686640</v>
      </c>
      <c r="X20">
        <f t="shared" si="4"/>
        <v>60052556.573999994</v>
      </c>
      <c r="Y20">
        <v>20.58</v>
      </c>
      <c r="Z20">
        <f t="shared" si="6"/>
        <v>3.426998145306306E-5</v>
      </c>
    </row>
    <row r="21" spans="1:26" x14ac:dyDescent="0.2">
      <c r="A21" s="11" t="s">
        <v>67</v>
      </c>
      <c r="B21" s="25" t="s">
        <v>80</v>
      </c>
      <c r="C21" s="1">
        <v>203003</v>
      </c>
      <c r="D21" t="s">
        <v>193</v>
      </c>
      <c r="E21">
        <f>2971*2962*52</f>
        <v>457605304</v>
      </c>
      <c r="F21">
        <f t="shared" si="0"/>
        <v>78811073.481399998</v>
      </c>
      <c r="G21">
        <v>697.38</v>
      </c>
      <c r="H21">
        <f t="shared" si="1"/>
        <v>8.8487565159810558E-4</v>
      </c>
      <c r="J21" s="6" t="s">
        <v>67</v>
      </c>
      <c r="K21" s="28" t="s">
        <v>9</v>
      </c>
      <c r="L21" s="2">
        <v>203003</v>
      </c>
      <c r="M21" t="s">
        <v>156</v>
      </c>
      <c r="N21">
        <f>2946*2950*26</f>
        <v>225958200</v>
      </c>
      <c r="O21">
        <f t="shared" si="2"/>
        <v>38915650.994999997</v>
      </c>
      <c r="P21">
        <v>258.79000000000002</v>
      </c>
      <c r="Q21">
        <f t="shared" si="3"/>
        <v>6.6500236635704782E-4</v>
      </c>
      <c r="R21" s="1"/>
      <c r="S21" s="6" t="s">
        <v>67</v>
      </c>
      <c r="T21" s="25" t="s">
        <v>11</v>
      </c>
      <c r="U21" s="2">
        <v>203003</v>
      </c>
      <c r="V21" t="s">
        <v>157</v>
      </c>
      <c r="W21">
        <f>2982*2958*36</f>
        <v>317547216</v>
      </c>
      <c r="X21">
        <f t="shared" si="4"/>
        <v>54689569.275600001</v>
      </c>
      <c r="Y21">
        <v>0</v>
      </c>
      <c r="Z21">
        <f t="shared" si="6"/>
        <v>0</v>
      </c>
    </row>
    <row r="22" spans="1:26" s="21" customFormat="1" x14ac:dyDescent="0.2">
      <c r="A22" s="23" t="s">
        <v>70</v>
      </c>
      <c r="B22" s="26" t="s">
        <v>80</v>
      </c>
      <c r="C22" s="24">
        <v>203002</v>
      </c>
      <c r="D22" s="21" t="s">
        <v>194</v>
      </c>
      <c r="E22" s="21">
        <f>2943*2926*51</f>
        <v>439172118</v>
      </c>
      <c r="F22" s="21">
        <f t="shared" si="0"/>
        <v>75636418.022550002</v>
      </c>
      <c r="G22" s="21">
        <v>7.71</v>
      </c>
      <c r="H22" s="21">
        <f t="shared" si="1"/>
        <v>1.0193502285765788E-5</v>
      </c>
      <c r="I22" s="22"/>
      <c r="J22" s="4" t="s">
        <v>70</v>
      </c>
      <c r="K22" s="29" t="s">
        <v>9</v>
      </c>
      <c r="L22" s="4">
        <v>203002</v>
      </c>
      <c r="M22" s="3" t="s">
        <v>158</v>
      </c>
      <c r="N22" s="3">
        <f>2965*2993*39</f>
        <v>346095555</v>
      </c>
      <c r="O22" s="3">
        <f t="shared" si="2"/>
        <v>59606306.959874995</v>
      </c>
      <c r="P22" s="3">
        <v>0</v>
      </c>
      <c r="Q22" s="3">
        <f t="shared" si="3"/>
        <v>0</v>
      </c>
      <c r="R22" s="5"/>
      <c r="S22" s="4" t="s">
        <v>70</v>
      </c>
      <c r="T22" s="27" t="s">
        <v>11</v>
      </c>
      <c r="U22" s="4">
        <v>203002</v>
      </c>
      <c r="V22" s="3" t="s">
        <v>159</v>
      </c>
      <c r="W22" s="3">
        <f>2979*2940*34</f>
        <v>297780840</v>
      </c>
      <c r="X22" s="3">
        <f t="shared" si="4"/>
        <v>51285305.168999992</v>
      </c>
      <c r="Y22" s="3">
        <v>0</v>
      </c>
      <c r="Z22" s="3">
        <f t="shared" si="6"/>
        <v>0</v>
      </c>
    </row>
    <row r="23" spans="1:26" x14ac:dyDescent="0.2">
      <c r="A23" s="11" t="s">
        <v>296</v>
      </c>
      <c r="B23" s="25" t="s">
        <v>80</v>
      </c>
      <c r="C23" s="1">
        <v>203006</v>
      </c>
      <c r="D23" t="s">
        <v>176</v>
      </c>
      <c r="E23">
        <f>2950*2945*33</f>
        <v>286695750</v>
      </c>
      <c r="F23">
        <f t="shared" ref="F23" si="7">E23*0.415*0.415</f>
        <v>49376175.543749996</v>
      </c>
      <c r="G23">
        <v>51633.45</v>
      </c>
      <c r="H23">
        <f t="shared" ref="H23" si="8">G23/F23*100</f>
        <v>0.10457158625874119</v>
      </c>
      <c r="J23" t="s">
        <v>296</v>
      </c>
      <c r="K23" s="25" t="s">
        <v>9</v>
      </c>
      <c r="L23">
        <v>203006</v>
      </c>
      <c r="M23" t="s">
        <v>129</v>
      </c>
      <c r="N23">
        <f>2948*2946*41</f>
        <v>356077128</v>
      </c>
      <c r="O23">
        <f t="shared" ref="O23" si="9">N23*0.415*0.415</f>
        <v>61325383.369800001</v>
      </c>
      <c r="P23">
        <v>4369.6499999999996</v>
      </c>
      <c r="Q23">
        <f t="shared" ref="Q23" si="10">P23/O23*100</f>
        <v>7.1253529287382423E-3</v>
      </c>
      <c r="R23" s="1"/>
      <c r="S23" t="s">
        <v>296</v>
      </c>
      <c r="T23" s="25" t="s">
        <v>11</v>
      </c>
      <c r="U23">
        <v>203006</v>
      </c>
      <c r="V23" t="s">
        <v>130</v>
      </c>
      <c r="W23">
        <f>2954*2950*34</f>
        <v>296286200</v>
      </c>
      <c r="X23">
        <f t="shared" ref="X23" si="11">W23*0.415*0.415</f>
        <v>51027890.794999994</v>
      </c>
      <c r="Y23">
        <v>5431.02</v>
      </c>
      <c r="Z23">
        <f t="shared" si="6"/>
        <v>1.0643238267124619E-2</v>
      </c>
    </row>
    <row r="24" spans="1:26" x14ac:dyDescent="0.2">
      <c r="A24" s="11" t="s">
        <v>73</v>
      </c>
      <c r="B24" s="25" t="s">
        <v>80</v>
      </c>
      <c r="C24" s="1">
        <v>202091</v>
      </c>
      <c r="D24" t="s">
        <v>195</v>
      </c>
      <c r="E24">
        <f>2945*2949*55</f>
        <v>477664275</v>
      </c>
      <c r="F24">
        <f t="shared" si="0"/>
        <v>82265729.761874989</v>
      </c>
      <c r="G24">
        <v>150511.59</v>
      </c>
      <c r="H24">
        <f t="shared" si="1"/>
        <v>0.18295782513042591</v>
      </c>
      <c r="J24" s="6" t="s">
        <v>73</v>
      </c>
      <c r="K24" s="25" t="s">
        <v>9</v>
      </c>
      <c r="L24" s="2">
        <v>202091</v>
      </c>
      <c r="M24" t="s">
        <v>160</v>
      </c>
      <c r="N24">
        <f>2957*2956*37</f>
        <v>323413004</v>
      </c>
      <c r="O24">
        <f t="shared" si="2"/>
        <v>55699804.613899998</v>
      </c>
      <c r="P24">
        <v>434821.59</v>
      </c>
      <c r="Q24">
        <f t="shared" si="3"/>
        <v>0.78065191254098121</v>
      </c>
      <c r="R24" s="1"/>
      <c r="S24" s="6" t="s">
        <v>73</v>
      </c>
      <c r="T24" s="25" t="s">
        <v>11</v>
      </c>
      <c r="U24" s="2">
        <v>202091</v>
      </c>
      <c r="V24" t="s">
        <v>161</v>
      </c>
      <c r="W24">
        <f>2953*2964*29</f>
        <v>253828068</v>
      </c>
      <c r="X24">
        <f t="shared" si="4"/>
        <v>43715539.011299998</v>
      </c>
      <c r="Y24">
        <v>59723.199999999997</v>
      </c>
      <c r="Z24">
        <f t="shared" si="6"/>
        <v>0.13661778248819531</v>
      </c>
    </row>
    <row r="25" spans="1:26" x14ac:dyDescent="0.2">
      <c r="A25" s="11" t="s">
        <v>74</v>
      </c>
      <c r="B25" s="25" t="s">
        <v>80</v>
      </c>
      <c r="C25" s="1">
        <v>202092</v>
      </c>
      <c r="D25" t="s">
        <v>196</v>
      </c>
      <c r="E25">
        <f>2953*2952*49</f>
        <v>427145544</v>
      </c>
      <c r="F25">
        <f t="shared" si="0"/>
        <v>73565141.315399989</v>
      </c>
      <c r="G25">
        <v>19014.89</v>
      </c>
      <c r="H25">
        <f t="shared" si="1"/>
        <v>2.5847690441423047E-2</v>
      </c>
      <c r="J25" s="6" t="s">
        <v>74</v>
      </c>
      <c r="K25" s="25" t="s">
        <v>9</v>
      </c>
      <c r="L25" s="2">
        <v>202092</v>
      </c>
      <c r="M25" t="s">
        <v>162</v>
      </c>
      <c r="N25">
        <f>2962*2958*23</f>
        <v>201516708</v>
      </c>
      <c r="O25">
        <f t="shared" si="2"/>
        <v>34706215.035299994</v>
      </c>
      <c r="P25">
        <v>140281.07</v>
      </c>
      <c r="Q25">
        <f t="shared" si="3"/>
        <v>0.40419581869506349</v>
      </c>
      <c r="R25" s="1"/>
      <c r="S25" s="6" t="s">
        <v>74</v>
      </c>
      <c r="T25" s="25" t="s">
        <v>11</v>
      </c>
      <c r="U25" s="2">
        <v>202092</v>
      </c>
      <c r="V25" t="s">
        <v>163</v>
      </c>
      <c r="W25">
        <f>2957*2972*18</f>
        <v>158187672</v>
      </c>
      <c r="X25">
        <f t="shared" si="4"/>
        <v>27243871.810199998</v>
      </c>
      <c r="Y25">
        <v>5319.15</v>
      </c>
      <c r="Z25">
        <f t="shared" si="6"/>
        <v>1.9524207267810338E-2</v>
      </c>
    </row>
    <row r="26" spans="1:26" x14ac:dyDescent="0.2">
      <c r="A26" s="11" t="s">
        <v>75</v>
      </c>
      <c r="B26" s="25" t="s">
        <v>80</v>
      </c>
      <c r="C26" s="1">
        <v>170720</v>
      </c>
      <c r="D26" t="s">
        <v>197</v>
      </c>
      <c r="E26">
        <f>2957*2954*40</f>
        <v>349399120</v>
      </c>
      <c r="F26">
        <f>E26*0.415*0.415</f>
        <v>60175263.441999987</v>
      </c>
      <c r="G26">
        <v>7644.76</v>
      </c>
      <c r="H26">
        <f t="shared" si="1"/>
        <v>1.2704157094997037E-2</v>
      </c>
      <c r="J26" s="6" t="s">
        <v>75</v>
      </c>
      <c r="K26" s="25" t="s">
        <v>9</v>
      </c>
      <c r="L26" s="2">
        <v>170720</v>
      </c>
      <c r="M26" t="s">
        <v>164</v>
      </c>
      <c r="N26">
        <f>2949*2949*29</f>
        <v>252201429</v>
      </c>
      <c r="O26">
        <f t="shared" si="2"/>
        <v>43435391.109524995</v>
      </c>
      <c r="P26">
        <v>20567.05</v>
      </c>
      <c r="Q26">
        <f t="shared" si="3"/>
        <v>4.7350903202733746E-2</v>
      </c>
      <c r="R26" s="1"/>
      <c r="S26" s="6" t="s">
        <v>75</v>
      </c>
      <c r="T26" s="25" t="s">
        <v>11</v>
      </c>
      <c r="U26" s="2">
        <v>170720</v>
      </c>
      <c r="V26" t="s">
        <v>165</v>
      </c>
      <c r="W26">
        <f>2949*2949*32</f>
        <v>278291232</v>
      </c>
      <c r="X26">
        <f t="shared" si="4"/>
        <v>47928707.431199998</v>
      </c>
      <c r="Y26">
        <v>32757</v>
      </c>
      <c r="Z26">
        <f t="shared" si="6"/>
        <v>6.8345260608209682E-2</v>
      </c>
    </row>
    <row r="27" spans="1:26" x14ac:dyDescent="0.2">
      <c r="A27" s="11" t="s">
        <v>76</v>
      </c>
      <c r="B27" s="25" t="s">
        <v>80</v>
      </c>
      <c r="C27" s="1">
        <v>202093</v>
      </c>
      <c r="D27" t="s">
        <v>198</v>
      </c>
      <c r="E27">
        <f>2952*2950*17</f>
        <v>148042800</v>
      </c>
      <c r="F27">
        <f t="shared" si="0"/>
        <v>25496671.23</v>
      </c>
      <c r="G27">
        <v>116303.52</v>
      </c>
      <c r="H27">
        <f t="shared" si="1"/>
        <v>0.45615178134765477</v>
      </c>
      <c r="J27" s="6" t="s">
        <v>76</v>
      </c>
      <c r="K27" s="25" t="s">
        <v>9</v>
      </c>
      <c r="L27" s="2">
        <v>202093</v>
      </c>
      <c r="M27" t="s">
        <v>166</v>
      </c>
      <c r="N27">
        <f>2954*2952*27</f>
        <v>235445616</v>
      </c>
      <c r="O27">
        <f t="shared" si="2"/>
        <v>40549621.215599999</v>
      </c>
      <c r="P27">
        <v>422495.88</v>
      </c>
      <c r="Q27">
        <f t="shared" si="3"/>
        <v>1.0419231236553699</v>
      </c>
      <c r="R27" s="1"/>
      <c r="S27" s="6" t="s">
        <v>76</v>
      </c>
      <c r="T27" s="25" t="s">
        <v>11</v>
      </c>
      <c r="U27" s="2">
        <v>202093</v>
      </c>
      <c r="V27" t="s">
        <v>167</v>
      </c>
      <c r="W27">
        <f>2957*2955*25</f>
        <v>218448375</v>
      </c>
      <c r="X27">
        <f t="shared" si="4"/>
        <v>37622271.384374999</v>
      </c>
      <c r="Y27">
        <v>296908.48</v>
      </c>
      <c r="Z27">
        <f t="shared" si="6"/>
        <v>0.7891827608348756</v>
      </c>
    </row>
    <row r="28" spans="1:26" x14ac:dyDescent="0.2">
      <c r="A28" s="11" t="s">
        <v>77</v>
      </c>
      <c r="B28" s="25" t="s">
        <v>80</v>
      </c>
      <c r="C28" s="1">
        <v>203005</v>
      </c>
      <c r="D28" t="s">
        <v>199</v>
      </c>
      <c r="E28">
        <f>2953*2947*38</f>
        <v>330694658</v>
      </c>
      <c r="F28">
        <f t="shared" si="0"/>
        <v>56953887.474049993</v>
      </c>
      <c r="G28">
        <v>421678.77</v>
      </c>
      <c r="H28">
        <f t="shared" si="1"/>
        <v>0.74038628213417446</v>
      </c>
      <c r="J28" s="6" t="s">
        <v>77</v>
      </c>
      <c r="K28" s="25" t="s">
        <v>9</v>
      </c>
      <c r="L28" s="2">
        <v>203005</v>
      </c>
      <c r="M28" t="s">
        <v>168</v>
      </c>
      <c r="N28">
        <f>2952*2954*23</f>
        <v>200564784</v>
      </c>
      <c r="O28">
        <f t="shared" si="2"/>
        <v>34542269.924400002</v>
      </c>
      <c r="P28">
        <v>58708.23</v>
      </c>
      <c r="Q28">
        <f t="shared" si="3"/>
        <v>0.16996054436633773</v>
      </c>
      <c r="R28" s="1"/>
      <c r="S28" s="6" t="s">
        <v>77</v>
      </c>
      <c r="T28" s="25" t="s">
        <v>11</v>
      </c>
      <c r="U28" s="2">
        <v>203005</v>
      </c>
      <c r="V28" t="s">
        <v>169</v>
      </c>
      <c r="W28">
        <f>2955*2960*21</f>
        <v>183682800</v>
      </c>
      <c r="X28">
        <f t="shared" si="4"/>
        <v>31634770.229999997</v>
      </c>
      <c r="Y28">
        <v>30439.7</v>
      </c>
      <c r="Z28">
        <f t="shared" si="6"/>
        <v>9.6222288888740903E-2</v>
      </c>
    </row>
    <row r="29" spans="1:26" x14ac:dyDescent="0.2">
      <c r="A29" s="11" t="s">
        <v>78</v>
      </c>
      <c r="B29" s="25" t="s">
        <v>80</v>
      </c>
      <c r="C29" s="1">
        <v>203001</v>
      </c>
      <c r="D29" t="s">
        <v>200</v>
      </c>
      <c r="E29">
        <f>2940*2950*27</f>
        <v>234171000</v>
      </c>
      <c r="F29">
        <f t="shared" si="0"/>
        <v>40330100.475000001</v>
      </c>
      <c r="G29">
        <v>73690.45</v>
      </c>
      <c r="H29">
        <f t="shared" si="1"/>
        <v>0.18271824055008135</v>
      </c>
      <c r="J29" s="6" t="s">
        <v>78</v>
      </c>
      <c r="K29" s="30" t="s">
        <v>9</v>
      </c>
      <c r="L29" s="2">
        <v>203001</v>
      </c>
      <c r="M29" t="s">
        <v>172</v>
      </c>
      <c r="N29">
        <f>2954*2960*24</f>
        <v>209852160</v>
      </c>
      <c r="O29">
        <f t="shared" si="2"/>
        <v>36141788.255999997</v>
      </c>
      <c r="P29">
        <v>32089.52</v>
      </c>
      <c r="Q29">
        <f>P29/O29*100</f>
        <v>8.8787859008810199E-2</v>
      </c>
      <c r="R29" s="1"/>
      <c r="S29" s="6" t="s">
        <v>78</v>
      </c>
      <c r="T29" s="30" t="s">
        <v>11</v>
      </c>
      <c r="U29" s="2">
        <v>203001</v>
      </c>
      <c r="V29" t="s">
        <v>173</v>
      </c>
      <c r="W29">
        <f>2952*2960*22</f>
        <v>192234240</v>
      </c>
      <c r="X29">
        <f t="shared" si="4"/>
        <v>33107541.983999997</v>
      </c>
      <c r="Y29">
        <v>3783.94</v>
      </c>
      <c r="Z29">
        <f t="shared" si="6"/>
        <v>1.1429238696816207E-2</v>
      </c>
    </row>
    <row r="30" spans="1:26" x14ac:dyDescent="0.2">
      <c r="A30" s="11" t="s">
        <v>79</v>
      </c>
      <c r="B30" s="25" t="s">
        <v>80</v>
      </c>
      <c r="C30" s="1">
        <v>203004</v>
      </c>
      <c r="D30" t="s">
        <v>201</v>
      </c>
      <c r="E30">
        <f>2948*2960*36</f>
        <v>314138880</v>
      </c>
      <c r="F30">
        <f t="shared" si="0"/>
        <v>54102568.607999995</v>
      </c>
      <c r="G30">
        <v>75.42</v>
      </c>
      <c r="H30">
        <f t="shared" si="1"/>
        <v>1.3940188412578966E-4</v>
      </c>
      <c r="J30" s="6" t="s">
        <v>79</v>
      </c>
      <c r="K30" s="30" t="s">
        <v>9</v>
      </c>
      <c r="L30" s="2">
        <v>203004</v>
      </c>
      <c r="M30" t="s">
        <v>170</v>
      </c>
      <c r="N30">
        <f>2976*2975*44</f>
        <v>389558400</v>
      </c>
      <c r="O30">
        <f t="shared" si="2"/>
        <v>67091695.439999998</v>
      </c>
      <c r="P30">
        <v>132.27000000000001</v>
      </c>
      <c r="Q30">
        <f>P29/O30*100</f>
        <v>4.7829347268020093E-2</v>
      </c>
      <c r="R30" s="1"/>
      <c r="S30" s="6" t="s">
        <v>79</v>
      </c>
      <c r="T30" s="30" t="s">
        <v>11</v>
      </c>
      <c r="U30" s="2">
        <v>203004</v>
      </c>
      <c r="V30" t="s">
        <v>171</v>
      </c>
      <c r="W30">
        <f>2965*2951*30</f>
        <v>262491450</v>
      </c>
      <c r="X30">
        <f t="shared" si="4"/>
        <v>45207589.97625</v>
      </c>
      <c r="Y30">
        <v>1049.73</v>
      </c>
      <c r="Z30">
        <f t="shared" si="6"/>
        <v>2.3220215909573595E-3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Amyloid_4G8_488</vt:lpstr>
      <vt:lpstr>Psyn_M_488</vt:lpstr>
      <vt:lpstr>Tau_AT8_647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BOUVIER</dc:creator>
  <cp:lastModifiedBy>D B</cp:lastModifiedBy>
  <cp:lastPrinted>2020-12-14T12:09:30Z</cp:lastPrinted>
  <dcterms:created xsi:type="dcterms:W3CDTF">2020-12-13T20:01:01Z</dcterms:created>
  <dcterms:modified xsi:type="dcterms:W3CDTF">2022-01-05T11:08:56Z</dcterms:modified>
</cp:coreProperties>
</file>