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Fig1\Partials\B\Quantification\"/>
    </mc:Choice>
  </mc:AlternateContent>
  <xr:revisionPtr revIDLastSave="0" documentId="13_ncr:1_{62E641A9-140A-42E1-84E3-73C12EF96E41}" xr6:coauthVersionLast="36" xr6:coauthVersionMax="36" xr10:uidLastSave="{00000000-0000-0000-0000-000000000000}"/>
  <bookViews>
    <workbookView xWindow="0" yWindow="0" windowWidth="14355" windowHeight="6390" activeTab="2" xr2:uid="{00000000-000D-0000-FFFF-FFFF00000000}"/>
  </bookViews>
  <sheets>
    <sheet name="Layout and reagents" sheetId="1" r:id="rId1"/>
    <sheet name="Results" sheetId="2" r:id="rId2"/>
    <sheet name="ForPlotti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29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29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I25" i="2"/>
  <c r="C25" i="2"/>
  <c r="D25" i="2"/>
  <c r="E25" i="2"/>
  <c r="F25" i="2"/>
  <c r="G25" i="2"/>
  <c r="H25" i="2"/>
  <c r="J25" i="2"/>
  <c r="B25" i="2"/>
  <c r="A14" i="1" l="1"/>
  <c r="D14" i="1" s="1"/>
  <c r="G16" i="1" s="1"/>
  <c r="C14" i="1" l="1"/>
  <c r="C18" i="1" s="1"/>
  <c r="B14" i="1"/>
  <c r="G27" i="1" l="1"/>
  <c r="B27" i="1"/>
  <c r="C20" i="1"/>
  <c r="F17" i="1"/>
  <c r="E14" i="1"/>
  <c r="F14" i="1" s="1"/>
  <c r="C19" i="1"/>
  <c r="D18" i="1"/>
  <c r="C21" i="1"/>
  <c r="D21" i="1" l="1"/>
  <c r="D19" i="1"/>
  <c r="H19" i="1" s="1"/>
  <c r="F20" i="1" s="1"/>
  <c r="D20" i="1"/>
  <c r="H17" i="1"/>
</calcChain>
</file>

<file path=xl/sharedStrings.xml><?xml version="1.0" encoding="utf-8"?>
<sst xmlns="http://schemas.openxmlformats.org/spreadsheetml/2006/main" count="275" uniqueCount="76">
  <si>
    <t>A</t>
  </si>
  <si>
    <t>B</t>
  </si>
  <si>
    <t>C</t>
  </si>
  <si>
    <t>D</t>
  </si>
  <si>
    <t>E</t>
  </si>
  <si>
    <t>F</t>
  </si>
  <si>
    <t>G</t>
  </si>
  <si>
    <t>H</t>
  </si>
  <si>
    <t>GCase Plate</t>
  </si>
  <si>
    <t>Blank</t>
  </si>
  <si>
    <t>Glycine</t>
  </si>
  <si>
    <t>Samples</t>
  </si>
  <si>
    <t>WR BCA</t>
  </si>
  <si>
    <t>Glycine (mL):</t>
  </si>
  <si>
    <t>20%BSA</t>
  </si>
  <si>
    <t>PBS</t>
  </si>
  <si>
    <t>mL of BCA WR</t>
  </si>
  <si>
    <t>uL</t>
  </si>
  <si>
    <t>4MU 1mM:</t>
  </si>
  <si>
    <t>mL</t>
  </si>
  <si>
    <t>mg of 4MU in citrate/Phosphate buffer</t>
  </si>
  <si>
    <t>1uM / 10mM final concentration conduritol-b-epoxide (CBE)</t>
  </si>
  <si>
    <t>MM: 162.14 g/mol</t>
  </si>
  <si>
    <t xml:space="preserve">mg glycine in </t>
  </si>
  <si>
    <t>Total vol</t>
  </si>
  <si>
    <t>4MU 1mM</t>
  </si>
  <si>
    <r>
      <t>4MU 5mM</t>
    </r>
    <r>
      <rPr>
        <sz val="10"/>
        <color rgb="FF00B050"/>
        <rFont val="Calibri"/>
        <family val="2"/>
        <scheme val="minor"/>
      </rPr>
      <t>*</t>
    </r>
  </si>
  <si>
    <t>mg</t>
  </si>
  <si>
    <t>To prepare 1 mL at 30mM: 5 mg CBE in 1mL DMSO</t>
  </si>
  <si>
    <t>100uL of CBE in 1mL 4MU (final conc 3mM)</t>
  </si>
  <si>
    <t>Blank CBE</t>
  </si>
  <si>
    <t>uL water</t>
  </si>
  <si>
    <t>*4MU 5mM (1.7ug/uL):</t>
  </si>
  <si>
    <t>Exp43</t>
  </si>
  <si>
    <t>Exp42</t>
  </si>
  <si>
    <t>Exp43 CBE</t>
  </si>
  <si>
    <t>Exp42 CBE</t>
  </si>
  <si>
    <t>KTI6</t>
  </si>
  <si>
    <t>SGO1</t>
  </si>
  <si>
    <t xml:space="preserve">Blank </t>
  </si>
  <si>
    <t>Exp41</t>
  </si>
  <si>
    <t>Exp41 CBE</t>
  </si>
  <si>
    <t>Total samples</t>
  </si>
  <si>
    <t>Will prepare:</t>
  </si>
  <si>
    <t>For each:</t>
  </si>
  <si>
    <t>Take:</t>
  </si>
  <si>
    <t xml:space="preserve">mL from the 4MU preparation and add </t>
  </si>
  <si>
    <t>uL of CBE 30mM</t>
  </si>
  <si>
    <t>Gcase</t>
  </si>
  <si>
    <t>BCA</t>
  </si>
  <si>
    <t>I</t>
  </si>
  <si>
    <t>Standard curve</t>
  </si>
  <si>
    <t>Standard Curve:</t>
  </si>
  <si>
    <t>BSA conc</t>
  </si>
  <si>
    <t>x=(DO-b)/m</t>
  </si>
  <si>
    <t>DO</t>
  </si>
  <si>
    <t>b:</t>
  </si>
  <si>
    <t>m:</t>
  </si>
  <si>
    <t>BCA mean OD</t>
  </si>
  <si>
    <t>Protein ug/mL</t>
  </si>
  <si>
    <t>Gcase OD</t>
  </si>
  <si>
    <t>CBE OD</t>
  </si>
  <si>
    <t>Gcase 
minus CBE</t>
  </si>
  <si>
    <t>Gcase/protein</t>
  </si>
  <si>
    <t>Batch</t>
  </si>
  <si>
    <t>CellLine</t>
  </si>
  <si>
    <t>Condition</t>
  </si>
  <si>
    <t>WT_68</t>
  </si>
  <si>
    <t>CTRL</t>
  </si>
  <si>
    <t>WT_56</t>
  </si>
  <si>
    <t>WT_39</t>
  </si>
  <si>
    <t>Mut_309</t>
  </si>
  <si>
    <t>GBA-PD</t>
  </si>
  <si>
    <t>Mut_KTI6</t>
  </si>
  <si>
    <t>Mut_SGO1</t>
  </si>
  <si>
    <t>Gcase_activity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</si>
</sst>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7413E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/>
    <xf numFmtId="0" fontId="2" fillId="5" borderId="2" xfId="0" applyFont="1" applyFill="1" applyBorder="1"/>
    <xf numFmtId="0" fontId="6" fillId="0" borderId="0" xfId="0" applyFont="1"/>
    <xf numFmtId="0" fontId="7" fillId="0" borderId="2" xfId="0" applyFont="1" applyBorder="1"/>
    <xf numFmtId="0" fontId="8" fillId="5" borderId="2" xfId="0" applyFont="1" applyFill="1" applyBorder="1"/>
    <xf numFmtId="0" fontId="6" fillId="0" borderId="0" xfId="0" applyFont="1" applyFill="1" applyBorder="1"/>
    <xf numFmtId="0" fontId="10" fillId="0" borderId="2" xfId="0" applyFont="1" applyBorder="1"/>
    <xf numFmtId="164" fontId="1" fillId="0" borderId="2" xfId="0" applyNumberFormat="1" applyFont="1" applyBorder="1"/>
    <xf numFmtId="0" fontId="6" fillId="0" borderId="2" xfId="0" applyFont="1" applyBorder="1"/>
    <xf numFmtId="0" fontId="11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2" fillId="6" borderId="0" xfId="0" applyFont="1" applyFill="1" applyBorder="1"/>
    <xf numFmtId="0" fontId="11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11" fillId="9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" fillId="0" borderId="2" xfId="0" applyFont="1" applyBorder="1" applyAlignment="1">
      <alignment horizontal="center"/>
    </xf>
    <xf numFmtId="0" fontId="9" fillId="0" borderId="3" xfId="0" applyFont="1" applyBorder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1" fillId="0" borderId="7" xfId="0" applyFont="1" applyBorder="1"/>
    <xf numFmtId="0" fontId="0" fillId="0" borderId="8" xfId="0" applyBorder="1"/>
    <xf numFmtId="0" fontId="5" fillId="0" borderId="3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7" xfId="0" applyFont="1" applyBorder="1"/>
    <xf numFmtId="0" fontId="2" fillId="9" borderId="2" xfId="0" applyFont="1" applyFill="1" applyBorder="1"/>
    <xf numFmtId="0" fontId="2" fillId="11" borderId="2" xfId="0" applyFont="1" applyFill="1" applyBorder="1"/>
    <xf numFmtId="0" fontId="11" fillId="11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2" fontId="1" fillId="0" borderId="6" xfId="0" applyNumberFormat="1" applyFont="1" applyBorder="1"/>
    <xf numFmtId="0" fontId="13" fillId="0" borderId="0" xfId="0" applyFont="1"/>
    <xf numFmtId="0" fontId="13" fillId="6" borderId="0" xfId="0" applyFont="1" applyFill="1" applyBorder="1"/>
    <xf numFmtId="0" fontId="2" fillId="0" borderId="10" xfId="0" applyFont="1" applyFill="1" applyBorder="1"/>
    <xf numFmtId="0" fontId="2" fillId="3" borderId="9" xfId="0" applyFont="1" applyFill="1" applyBorder="1"/>
    <xf numFmtId="0" fontId="2" fillId="7" borderId="9" xfId="0" applyFont="1" applyFill="1" applyBorder="1"/>
    <xf numFmtId="0" fontId="2" fillId="10" borderId="9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4" borderId="11" xfId="0" applyFont="1" applyFill="1" applyBorder="1" applyAlignment="1">
      <alignment horizontal="center" vertical="center" wrapText="1"/>
    </xf>
    <xf numFmtId="0" fontId="15" fillId="15" borderId="11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15" fillId="17" borderId="11" xfId="0" applyFont="1" applyFill="1" applyBorder="1" applyAlignment="1">
      <alignment horizontal="center" vertical="center" wrapText="1"/>
    </xf>
    <xf numFmtId="0" fontId="15" fillId="18" borderId="11" xfId="0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15" fillId="22" borderId="11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5" fillId="24" borderId="11" xfId="0" applyFont="1" applyFill="1" applyBorder="1" applyAlignment="1">
      <alignment horizontal="center" vertical="center" wrapText="1"/>
    </xf>
    <xf numFmtId="0" fontId="15" fillId="25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" fillId="0" borderId="2" xfId="0" applyFont="1" applyFill="1" applyBorder="1"/>
    <xf numFmtId="0" fontId="11" fillId="26" borderId="2" xfId="0" applyFont="1" applyFill="1" applyBorder="1" applyAlignment="1">
      <alignment horizontal="center" vertical="center" wrapText="1"/>
    </xf>
    <xf numFmtId="0" fontId="0" fillId="26" borderId="2" xfId="0" applyFill="1" applyBorder="1"/>
    <xf numFmtId="0" fontId="2" fillId="26" borderId="2" xfId="0" applyFont="1" applyFill="1" applyBorder="1"/>
    <xf numFmtId="0" fontId="0" fillId="26" borderId="0" xfId="0" applyFill="1"/>
    <xf numFmtId="0" fontId="14" fillId="2" borderId="0" xfId="0" applyFont="1" applyFill="1" applyBorder="1" applyAlignment="1">
      <alignment horizontal="center" vertical="center" wrapText="1"/>
    </xf>
    <xf numFmtId="0" fontId="16" fillId="0" borderId="2" xfId="0" applyFont="1" applyBorder="1"/>
    <xf numFmtId="0" fontId="16" fillId="0" borderId="2" xfId="0" applyFont="1" applyBorder="1" applyAlignment="1">
      <alignment wrapText="1"/>
    </xf>
    <xf numFmtId="0" fontId="16" fillId="3" borderId="2" xfId="0" applyFont="1" applyFill="1" applyBorder="1" applyAlignment="1">
      <alignment horizontal="left"/>
    </xf>
    <xf numFmtId="164" fontId="16" fillId="0" borderId="2" xfId="0" applyNumberFormat="1" applyFont="1" applyBorder="1"/>
    <xf numFmtId="2" fontId="16" fillId="0" borderId="2" xfId="0" applyNumberFormat="1" applyFont="1" applyBorder="1"/>
    <xf numFmtId="0" fontId="16" fillId="7" borderId="2" xfId="0" applyFont="1" applyFill="1" applyBorder="1" applyAlignment="1">
      <alignment horizontal="left"/>
    </xf>
    <xf numFmtId="0" fontId="16" fillId="10" borderId="2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/>
    <xf numFmtId="0" fontId="2" fillId="3" borderId="2" xfId="0" applyFont="1" applyFill="1" applyBorder="1"/>
    <xf numFmtId="0" fontId="2" fillId="7" borderId="2" xfId="0" applyFont="1" applyFill="1" applyBorder="1"/>
    <xf numFmtId="0" fontId="2" fillId="10" borderId="2" xfId="0" applyFont="1" applyFill="1" applyBorder="1"/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BCA</a:t>
            </a:r>
            <a:r>
              <a:rPr lang="en-US" baseline="0"/>
              <a:t> standard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Results!$B$24:$J$24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  <c:pt idx="5">
                  <c:v>750</c:v>
                </c:pt>
                <c:pt idx="6">
                  <c:v>1000</c:v>
                </c:pt>
                <c:pt idx="7">
                  <c:v>1500</c:v>
                </c:pt>
                <c:pt idx="8">
                  <c:v>2000</c:v>
                </c:pt>
              </c:numCache>
            </c:numRef>
          </c:xVal>
          <c:yVal>
            <c:numRef>
              <c:f>Results!$B$25:$J$25</c:f>
              <c:numCache>
                <c:formatCode>General</c:formatCode>
                <c:ptCount val="9"/>
                <c:pt idx="0">
                  <c:v>0.10199999999999999</c:v>
                </c:pt>
                <c:pt idx="1">
                  <c:v>0.122</c:v>
                </c:pt>
                <c:pt idx="2">
                  <c:v>0.20799999999999999</c:v>
                </c:pt>
                <c:pt idx="3">
                  <c:v>0.28366666666666668</c:v>
                </c:pt>
                <c:pt idx="4">
                  <c:v>0.46100000000000002</c:v>
                </c:pt>
                <c:pt idx="5">
                  <c:v>0.56066666666666665</c:v>
                </c:pt>
                <c:pt idx="6">
                  <c:v>0.71166666666666656</c:v>
                </c:pt>
                <c:pt idx="7">
                  <c:v>1.0860000000000001</c:v>
                </c:pt>
                <c:pt idx="8">
                  <c:v>1.268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3E-4344-B866-10D33E40D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091440"/>
        <c:axId val="975307280"/>
      </c:scatterChart>
      <c:valAx>
        <c:axId val="96909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07280"/>
        <c:crosses val="autoZero"/>
        <c:crossBetween val="midCat"/>
      </c:valAx>
      <c:valAx>
        <c:axId val="97530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091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21</xdr:row>
      <xdr:rowOff>114300</xdr:rowOff>
    </xdr:from>
    <xdr:to>
      <xdr:col>24</xdr:col>
      <xdr:colOff>514350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6B5EC-DFE7-43C4-AC36-7B00F3E17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7"/>
  <sheetViews>
    <sheetView workbookViewId="0">
      <selection activeCell="D36" sqref="D36"/>
    </sheetView>
  </sheetViews>
  <sheetFormatPr defaultRowHeight="15" x14ac:dyDescent="0.25"/>
  <cols>
    <col min="1" max="1" width="9.85546875" customWidth="1"/>
    <col min="2" max="2" width="10.7109375" customWidth="1"/>
    <col min="3" max="3" width="9.42578125" customWidth="1"/>
    <col min="4" max="4" width="11.140625" customWidth="1"/>
    <col min="5" max="5" width="9.42578125" customWidth="1"/>
    <col min="6" max="6" width="8.7109375" customWidth="1"/>
    <col min="7" max="7" width="6.85546875" customWidth="1"/>
    <col min="8" max="8" width="9.7109375" customWidth="1"/>
    <col min="9" max="9" width="7.85546875" customWidth="1"/>
    <col min="10" max="10" width="8.85546875" customWidth="1"/>
    <col min="11" max="11" width="8.7109375" customWidth="1"/>
    <col min="12" max="12" width="9.28515625" customWidth="1"/>
    <col min="13" max="13" width="9.85546875" customWidth="1"/>
    <col min="14" max="14" width="6.42578125" customWidth="1"/>
    <col min="15" max="15" width="5.42578125" customWidth="1"/>
    <col min="28" max="28" width="10.5703125" customWidth="1"/>
  </cols>
  <sheetData>
    <row r="2" spans="1:27" x14ac:dyDescent="0.25">
      <c r="A2" s="1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x14ac:dyDescent="0.25">
      <c r="A3" s="38"/>
      <c r="B3" s="39">
        <v>1</v>
      </c>
      <c r="C3" s="39">
        <v>2</v>
      </c>
      <c r="D3" s="39">
        <v>3</v>
      </c>
      <c r="E3" s="39">
        <v>4</v>
      </c>
      <c r="F3" s="39">
        <v>5</v>
      </c>
      <c r="G3" s="39">
        <v>6</v>
      </c>
      <c r="H3" s="39">
        <v>7</v>
      </c>
      <c r="I3" s="39">
        <v>8</v>
      </c>
      <c r="J3" s="39">
        <v>9</v>
      </c>
      <c r="K3" s="39">
        <v>10</v>
      </c>
      <c r="L3" s="39">
        <v>11</v>
      </c>
      <c r="M3" s="39">
        <v>12</v>
      </c>
      <c r="N3" s="2"/>
      <c r="O3" s="50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x14ac:dyDescent="0.25">
      <c r="A4" s="5" t="s">
        <v>0</v>
      </c>
      <c r="B4" s="15">
        <v>68</v>
      </c>
      <c r="C4" s="15">
        <v>68</v>
      </c>
      <c r="D4" s="15">
        <v>56</v>
      </c>
      <c r="E4" s="15">
        <v>56</v>
      </c>
      <c r="F4" s="15">
        <v>39</v>
      </c>
      <c r="G4" s="15">
        <v>39</v>
      </c>
      <c r="H4" s="20">
        <v>68</v>
      </c>
      <c r="I4" s="20">
        <v>68</v>
      </c>
      <c r="J4" s="20">
        <v>56</v>
      </c>
      <c r="K4" s="20">
        <v>56</v>
      </c>
      <c r="L4" s="20">
        <v>39</v>
      </c>
      <c r="M4" s="20">
        <v>39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x14ac:dyDescent="0.25">
      <c r="A5" s="5" t="s">
        <v>1</v>
      </c>
      <c r="B5" s="15">
        <v>309</v>
      </c>
      <c r="C5" s="15">
        <v>309</v>
      </c>
      <c r="D5" s="15" t="s">
        <v>37</v>
      </c>
      <c r="E5" s="15" t="s">
        <v>37</v>
      </c>
      <c r="F5" s="15" t="s">
        <v>38</v>
      </c>
      <c r="G5" s="15" t="s">
        <v>38</v>
      </c>
      <c r="H5" s="20">
        <v>309</v>
      </c>
      <c r="I5" s="20">
        <v>309</v>
      </c>
      <c r="J5" s="20" t="s">
        <v>37</v>
      </c>
      <c r="K5" s="20" t="s">
        <v>37</v>
      </c>
      <c r="L5" s="20" t="s">
        <v>38</v>
      </c>
      <c r="M5" s="20" t="s">
        <v>38</v>
      </c>
      <c r="O5" s="45" t="s">
        <v>40</v>
      </c>
      <c r="P5" s="33" t="s">
        <v>41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6.5" customHeight="1" x14ac:dyDescent="0.25">
      <c r="A6" s="5" t="s">
        <v>2</v>
      </c>
      <c r="B6" s="18">
        <v>68</v>
      </c>
      <c r="C6" s="18">
        <v>68</v>
      </c>
      <c r="D6" s="18">
        <v>56</v>
      </c>
      <c r="E6" s="18">
        <v>56</v>
      </c>
      <c r="F6" s="18">
        <v>39</v>
      </c>
      <c r="G6" s="18">
        <v>39</v>
      </c>
      <c r="H6" s="37">
        <v>68</v>
      </c>
      <c r="I6" s="37">
        <v>68</v>
      </c>
      <c r="J6" s="37">
        <v>56</v>
      </c>
      <c r="K6" s="37">
        <v>56</v>
      </c>
      <c r="L6" s="37">
        <v>39</v>
      </c>
      <c r="M6" s="37">
        <v>39</v>
      </c>
      <c r="O6" s="46" t="s">
        <v>34</v>
      </c>
      <c r="P6" s="19" t="s">
        <v>36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6.5" customHeight="1" x14ac:dyDescent="0.25">
      <c r="A7" s="5" t="s">
        <v>3</v>
      </c>
      <c r="B7" s="18">
        <v>309</v>
      </c>
      <c r="C7" s="18">
        <v>309</v>
      </c>
      <c r="D7" s="18" t="s">
        <v>37</v>
      </c>
      <c r="E7" s="18" t="s">
        <v>37</v>
      </c>
      <c r="F7" s="18" t="s">
        <v>38</v>
      </c>
      <c r="G7" s="18" t="s">
        <v>38</v>
      </c>
      <c r="H7" s="37">
        <v>309</v>
      </c>
      <c r="I7" s="37">
        <v>309</v>
      </c>
      <c r="J7" s="37" t="s">
        <v>37</v>
      </c>
      <c r="K7" s="37" t="s">
        <v>37</v>
      </c>
      <c r="L7" s="37" t="s">
        <v>38</v>
      </c>
      <c r="M7" s="37" t="s">
        <v>38</v>
      </c>
      <c r="O7" s="47" t="s">
        <v>33</v>
      </c>
      <c r="P7" s="34" t="s">
        <v>35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x14ac:dyDescent="0.25">
      <c r="A8" s="5" t="s">
        <v>4</v>
      </c>
      <c r="B8" s="36">
        <v>68</v>
      </c>
      <c r="C8" s="36">
        <v>56</v>
      </c>
      <c r="D8" s="36">
        <v>39</v>
      </c>
      <c r="E8" s="36">
        <v>309</v>
      </c>
      <c r="F8" s="36" t="s">
        <v>37</v>
      </c>
      <c r="G8" s="36" t="s">
        <v>38</v>
      </c>
      <c r="H8" s="35">
        <v>68</v>
      </c>
      <c r="I8" s="35">
        <v>56</v>
      </c>
      <c r="J8" s="35">
        <v>39</v>
      </c>
      <c r="K8" s="35">
        <v>309</v>
      </c>
      <c r="L8" s="35" t="s">
        <v>37</v>
      </c>
      <c r="M8" s="35" t="s">
        <v>38</v>
      </c>
      <c r="N8" s="44"/>
      <c r="O8" s="51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3.5" customHeight="1" x14ac:dyDescent="0.25">
      <c r="A9" s="5" t="s">
        <v>5</v>
      </c>
      <c r="B9" s="36">
        <v>68</v>
      </c>
      <c r="C9" s="36">
        <v>56</v>
      </c>
      <c r="D9" s="36">
        <v>39</v>
      </c>
      <c r="E9" s="36">
        <v>309</v>
      </c>
      <c r="F9" s="36" t="s">
        <v>37</v>
      </c>
      <c r="G9" s="36" t="s">
        <v>38</v>
      </c>
      <c r="H9" s="35">
        <v>68</v>
      </c>
      <c r="I9" s="35">
        <v>56</v>
      </c>
      <c r="J9" s="35">
        <v>39</v>
      </c>
      <c r="K9" s="35">
        <v>309</v>
      </c>
      <c r="L9" s="35" t="s">
        <v>37</v>
      </c>
      <c r="M9" s="35" t="s">
        <v>38</v>
      </c>
      <c r="N9" s="2"/>
      <c r="O9" s="51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4.25" customHeight="1" x14ac:dyDescent="0.25">
      <c r="A10" s="5" t="s">
        <v>6</v>
      </c>
      <c r="B10" s="36">
        <v>68</v>
      </c>
      <c r="C10" s="36">
        <v>56</v>
      </c>
      <c r="D10" s="36">
        <v>39</v>
      </c>
      <c r="E10" s="36">
        <v>309</v>
      </c>
      <c r="F10" s="36" t="s">
        <v>37</v>
      </c>
      <c r="G10" s="36" t="s">
        <v>38</v>
      </c>
      <c r="H10" s="35">
        <v>68</v>
      </c>
      <c r="I10" s="35">
        <v>56</v>
      </c>
      <c r="J10" s="35">
        <v>39</v>
      </c>
      <c r="K10" s="35">
        <v>309</v>
      </c>
      <c r="L10" s="35" t="s">
        <v>37</v>
      </c>
      <c r="M10" s="35" t="s">
        <v>38</v>
      </c>
      <c r="N10" s="2"/>
      <c r="O10" s="51"/>
      <c r="P10" s="52"/>
      <c r="Q10" s="52"/>
      <c r="R10" s="52"/>
      <c r="S10" s="52"/>
      <c r="T10" s="52"/>
      <c r="U10" s="52"/>
      <c r="V10" s="52"/>
      <c r="W10" s="52"/>
      <c r="X10" s="49"/>
      <c r="Y10" s="49"/>
      <c r="Z10" s="53"/>
      <c r="AA10" s="53"/>
    </row>
    <row r="11" spans="1:27" ht="15" customHeight="1" x14ac:dyDescent="0.25">
      <c r="A11" s="5" t="s">
        <v>7</v>
      </c>
      <c r="B11" s="16"/>
      <c r="C11" s="16"/>
      <c r="D11" s="16"/>
      <c r="E11" s="40" t="s">
        <v>39</v>
      </c>
      <c r="F11" s="40" t="s">
        <v>39</v>
      </c>
      <c r="G11" s="40" t="s">
        <v>9</v>
      </c>
      <c r="H11" s="40" t="s">
        <v>30</v>
      </c>
      <c r="I11" s="40" t="s">
        <v>30</v>
      </c>
      <c r="J11" s="40" t="s">
        <v>30</v>
      </c>
      <c r="K11" s="16"/>
      <c r="L11" s="16"/>
      <c r="M11" s="16"/>
      <c r="N11" s="2"/>
      <c r="O11" s="51"/>
      <c r="P11" s="52"/>
      <c r="Q11" s="52"/>
      <c r="R11" s="52"/>
      <c r="S11" s="52"/>
      <c r="T11" s="52"/>
      <c r="U11" s="52"/>
      <c r="V11" s="52"/>
      <c r="W11" s="52"/>
      <c r="X11" s="49"/>
      <c r="Y11" s="49"/>
      <c r="Z11" s="53"/>
      <c r="AA11" s="53"/>
    </row>
    <row r="12" spans="1:27" x14ac:dyDescent="0.25"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x14ac:dyDescent="0.25">
      <c r="A13" s="3" t="s">
        <v>11</v>
      </c>
      <c r="B13" s="1" t="s">
        <v>42</v>
      </c>
      <c r="C13" s="12" t="s">
        <v>25</v>
      </c>
      <c r="D13" s="14" t="s">
        <v>10</v>
      </c>
      <c r="E13" s="22" t="s">
        <v>12</v>
      </c>
      <c r="F13" s="22"/>
      <c r="G13" s="1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x14ac:dyDescent="0.25">
      <c r="A14" s="3">
        <f>COUNTA(B4:G11)</f>
        <v>45</v>
      </c>
      <c r="B14" s="3">
        <f>A14*2</f>
        <v>90</v>
      </c>
      <c r="C14" s="12">
        <f>A14 *40</f>
        <v>1800</v>
      </c>
      <c r="D14" s="14">
        <f>A14*50</f>
        <v>2250</v>
      </c>
      <c r="E14" s="3">
        <f>B14*190</f>
        <v>17100</v>
      </c>
      <c r="F14" s="21">
        <f>ROUND(E14*1.1,-3)</f>
        <v>19000</v>
      </c>
      <c r="G14" s="1" t="s">
        <v>16</v>
      </c>
    </row>
    <row r="15" spans="1:27" ht="15.75" thickBot="1" x14ac:dyDescent="0.3">
      <c r="E15" s="1"/>
      <c r="F15" s="8"/>
      <c r="G15" s="11"/>
    </row>
    <row r="16" spans="1:27" x14ac:dyDescent="0.25">
      <c r="F16" s="29" t="s">
        <v>13</v>
      </c>
      <c r="G16" s="30">
        <f>ROUND((D14*1.1*2),-2)</f>
        <v>5000</v>
      </c>
      <c r="H16" s="25"/>
      <c r="I16" s="25"/>
      <c r="J16" s="26"/>
    </row>
    <row r="17" spans="1:10" ht="15.75" thickBot="1" x14ac:dyDescent="0.3">
      <c r="A17" s="9" t="s">
        <v>18</v>
      </c>
      <c r="C17" s="6" t="s">
        <v>44</v>
      </c>
      <c r="D17" s="6" t="s">
        <v>43</v>
      </c>
      <c r="F17" s="31">
        <f>G16*187.675/2500</f>
        <v>375.35</v>
      </c>
      <c r="G17" s="32" t="s">
        <v>23</v>
      </c>
      <c r="H17" s="32">
        <f>G16</f>
        <v>5000</v>
      </c>
      <c r="I17" s="32" t="s">
        <v>31</v>
      </c>
      <c r="J17" s="28"/>
    </row>
    <row r="18" spans="1:10" ht="15.75" thickBot="1" x14ac:dyDescent="0.3">
      <c r="A18" s="7" t="s">
        <v>24</v>
      </c>
      <c r="B18" s="3">
        <v>2.5</v>
      </c>
      <c r="C18" s="3">
        <f>ROUND(C14*1.2,-2)/1000</f>
        <v>2.2000000000000002</v>
      </c>
      <c r="D18" s="21">
        <f>ROUND(C14*1.2,-2)/1000*2</f>
        <v>4.4000000000000004</v>
      </c>
      <c r="E18" s="1" t="s">
        <v>19</v>
      </c>
    </row>
    <row r="19" spans="1:10" x14ac:dyDescent="0.25">
      <c r="A19" s="10" t="s">
        <v>26</v>
      </c>
      <c r="B19" s="3">
        <v>500</v>
      </c>
      <c r="C19" s="3">
        <f>C18*B19/B18</f>
        <v>440</v>
      </c>
      <c r="D19" s="21">
        <f>D18*B19/B18</f>
        <v>880</v>
      </c>
      <c r="E19" s="1" t="s">
        <v>17</v>
      </c>
      <c r="F19" s="23" t="s">
        <v>32</v>
      </c>
      <c r="G19" s="24"/>
      <c r="H19" s="25">
        <f>D19</f>
        <v>880</v>
      </c>
      <c r="I19" s="25" t="s">
        <v>17</v>
      </c>
      <c r="J19" s="26"/>
    </row>
    <row r="20" spans="1:10" ht="15.75" thickBot="1" x14ac:dyDescent="0.3">
      <c r="A20" s="7" t="s">
        <v>14</v>
      </c>
      <c r="B20" s="13">
        <v>2.5000000000000001E-2</v>
      </c>
      <c r="C20" s="3">
        <f>(C18*B20/B18)*1000</f>
        <v>22.000000000000004</v>
      </c>
      <c r="D20" s="21">
        <f>(D18*B20/B18)*1000</f>
        <v>44.000000000000007</v>
      </c>
      <c r="E20" s="1" t="s">
        <v>27</v>
      </c>
      <c r="F20" s="41">
        <f>H19*1.7/1000</f>
        <v>1.496</v>
      </c>
      <c r="G20" s="27" t="s">
        <v>20</v>
      </c>
      <c r="H20" s="27"/>
      <c r="I20" s="27"/>
      <c r="J20" s="28"/>
    </row>
    <row r="21" spans="1:10" x14ac:dyDescent="0.25">
      <c r="A21" s="7" t="s">
        <v>15</v>
      </c>
      <c r="B21" s="3">
        <v>1875</v>
      </c>
      <c r="C21" s="3">
        <f>C18*B21/B18</f>
        <v>1650</v>
      </c>
      <c r="D21" s="21">
        <f>D18*B21/B18</f>
        <v>3300</v>
      </c>
      <c r="E21" s="1" t="s">
        <v>17</v>
      </c>
    </row>
    <row r="23" spans="1:10" x14ac:dyDescent="0.25">
      <c r="A23" s="17" t="s">
        <v>21</v>
      </c>
    </row>
    <row r="24" spans="1:10" x14ac:dyDescent="0.25">
      <c r="A24" s="17" t="s">
        <v>22</v>
      </c>
    </row>
    <row r="25" spans="1:10" x14ac:dyDescent="0.25">
      <c r="A25" s="17" t="s">
        <v>28</v>
      </c>
    </row>
    <row r="26" spans="1:10" x14ac:dyDescent="0.25">
      <c r="A26" s="17" t="s">
        <v>29</v>
      </c>
    </row>
    <row r="27" spans="1:10" x14ac:dyDescent="0.25">
      <c r="A27" s="43" t="s">
        <v>45</v>
      </c>
      <c r="B27" s="42">
        <f>C18</f>
        <v>2.2000000000000002</v>
      </c>
      <c r="C27" s="42" t="s">
        <v>46</v>
      </c>
      <c r="D27" s="42"/>
      <c r="E27" s="42"/>
      <c r="F27" s="42"/>
      <c r="G27" s="42">
        <f>C18*100</f>
        <v>220.00000000000003</v>
      </c>
      <c r="H27" s="42" t="s">
        <v>47</v>
      </c>
    </row>
  </sheetData>
  <pageMargins left="1" right="1" top="1" bottom="1" header="0.5" footer="0.5"/>
  <pageSetup paperSize="9" scale="8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22DA-EBBA-40E5-9B2B-27B750F68A57}">
  <dimension ref="A1:AD46"/>
  <sheetViews>
    <sheetView topLeftCell="A19" workbookViewId="0">
      <selection activeCell="A29" sqref="A29"/>
    </sheetView>
  </sheetViews>
  <sheetFormatPr defaultRowHeight="15" x14ac:dyDescent="0.25"/>
  <sheetData>
    <row r="1" spans="1:30" x14ac:dyDescent="0.25">
      <c r="A1" t="s">
        <v>48</v>
      </c>
    </row>
    <row r="2" spans="1:30" x14ac:dyDescent="0.25">
      <c r="A2" s="54"/>
      <c r="B2" s="55">
        <v>1</v>
      </c>
      <c r="C2" s="55">
        <v>2</v>
      </c>
      <c r="D2" s="55">
        <v>3</v>
      </c>
      <c r="E2" s="55">
        <v>4</v>
      </c>
      <c r="F2" s="55">
        <v>5</v>
      </c>
      <c r="G2" s="55">
        <v>6</v>
      </c>
      <c r="H2" s="55">
        <v>7</v>
      </c>
      <c r="I2" s="55">
        <v>8</v>
      </c>
      <c r="J2" s="55">
        <v>9</v>
      </c>
      <c r="K2" s="55">
        <v>10</v>
      </c>
      <c r="L2" s="55">
        <v>11</v>
      </c>
      <c r="M2" s="55">
        <v>12</v>
      </c>
      <c r="O2" s="38"/>
      <c r="P2" s="39">
        <v>1</v>
      </c>
      <c r="Q2" s="39">
        <v>2</v>
      </c>
      <c r="R2" s="39">
        <v>3</v>
      </c>
      <c r="S2" s="39">
        <v>4</v>
      </c>
      <c r="T2" s="39">
        <v>5</v>
      </c>
      <c r="U2" s="39">
        <v>6</v>
      </c>
      <c r="V2" s="39">
        <v>7</v>
      </c>
      <c r="W2" s="39">
        <v>8</v>
      </c>
      <c r="X2" s="39">
        <v>9</v>
      </c>
      <c r="Y2" s="39">
        <v>10</v>
      </c>
      <c r="Z2" s="39">
        <v>11</v>
      </c>
      <c r="AA2" s="39">
        <v>12</v>
      </c>
      <c r="AB2" s="2"/>
      <c r="AC2" s="50"/>
      <c r="AD2" s="51"/>
    </row>
    <row r="3" spans="1:30" x14ac:dyDescent="0.25">
      <c r="A3" s="55" t="s">
        <v>0</v>
      </c>
      <c r="B3" s="58">
        <v>15588</v>
      </c>
      <c r="C3" s="58">
        <v>15221</v>
      </c>
      <c r="D3" s="59">
        <v>14216</v>
      </c>
      <c r="E3" s="59">
        <v>14228</v>
      </c>
      <c r="F3" s="58">
        <v>14946</v>
      </c>
      <c r="G3" s="59">
        <v>14624</v>
      </c>
      <c r="H3" s="56">
        <v>7346</v>
      </c>
      <c r="I3" s="56">
        <v>7611</v>
      </c>
      <c r="J3" s="56">
        <v>7598</v>
      </c>
      <c r="K3" s="65">
        <v>7761</v>
      </c>
      <c r="L3" s="65">
        <v>8129</v>
      </c>
      <c r="M3" s="65">
        <v>8177</v>
      </c>
      <c r="O3" s="5" t="s">
        <v>0</v>
      </c>
      <c r="P3" s="15">
        <v>68</v>
      </c>
      <c r="Q3" s="15">
        <v>68</v>
      </c>
      <c r="R3" s="15">
        <v>56</v>
      </c>
      <c r="S3" s="15">
        <v>56</v>
      </c>
      <c r="T3" s="15">
        <v>39</v>
      </c>
      <c r="U3" s="15">
        <v>39</v>
      </c>
      <c r="V3" s="20">
        <v>68</v>
      </c>
      <c r="W3" s="20">
        <v>68</v>
      </c>
      <c r="X3" s="20">
        <v>56</v>
      </c>
      <c r="Y3" s="20">
        <v>56</v>
      </c>
      <c r="Z3" s="20">
        <v>39</v>
      </c>
      <c r="AA3" s="20">
        <v>39</v>
      </c>
    </row>
    <row r="4" spans="1:30" x14ac:dyDescent="0.25">
      <c r="A4" s="55" t="s">
        <v>1</v>
      </c>
      <c r="B4" s="68">
        <v>12369</v>
      </c>
      <c r="C4" s="68">
        <v>12356</v>
      </c>
      <c r="D4" s="68">
        <v>12303</v>
      </c>
      <c r="E4" s="68">
        <v>12499</v>
      </c>
      <c r="F4" s="60">
        <v>13155</v>
      </c>
      <c r="G4" s="60">
        <v>13824</v>
      </c>
      <c r="H4" s="65">
        <v>7657</v>
      </c>
      <c r="I4" s="65">
        <v>7622</v>
      </c>
      <c r="J4" s="56">
        <v>7615</v>
      </c>
      <c r="K4" s="65">
        <v>7706</v>
      </c>
      <c r="L4" s="65">
        <v>7880</v>
      </c>
      <c r="M4" s="65">
        <v>7959</v>
      </c>
      <c r="O4" s="5" t="s">
        <v>1</v>
      </c>
      <c r="P4" s="15">
        <v>309</v>
      </c>
      <c r="Q4" s="15">
        <v>309</v>
      </c>
      <c r="R4" s="15" t="s">
        <v>37</v>
      </c>
      <c r="S4" s="15" t="s">
        <v>37</v>
      </c>
      <c r="T4" s="15" t="s">
        <v>38</v>
      </c>
      <c r="U4" s="15" t="s">
        <v>38</v>
      </c>
      <c r="V4" s="20">
        <v>309</v>
      </c>
      <c r="W4" s="20">
        <v>309</v>
      </c>
      <c r="X4" s="20" t="s">
        <v>37</v>
      </c>
      <c r="Y4" s="20" t="s">
        <v>37</v>
      </c>
      <c r="Z4" s="20" t="s">
        <v>38</v>
      </c>
      <c r="AA4" s="20" t="s">
        <v>38</v>
      </c>
      <c r="AB4" s="85"/>
      <c r="AC4" s="88" t="s">
        <v>40</v>
      </c>
      <c r="AD4" s="33" t="s">
        <v>41</v>
      </c>
    </row>
    <row r="5" spans="1:30" x14ac:dyDescent="0.25">
      <c r="A5" s="55" t="s">
        <v>2</v>
      </c>
      <c r="B5" s="68">
        <v>12877</v>
      </c>
      <c r="C5" s="68">
        <v>12443</v>
      </c>
      <c r="D5" s="61">
        <v>11413</v>
      </c>
      <c r="E5" s="61">
        <v>11448</v>
      </c>
      <c r="F5" s="68">
        <v>12947</v>
      </c>
      <c r="G5" s="60">
        <v>13634</v>
      </c>
      <c r="H5" s="56">
        <v>7479</v>
      </c>
      <c r="I5" s="65">
        <v>7677</v>
      </c>
      <c r="J5" s="56">
        <v>7611</v>
      </c>
      <c r="K5" s="65">
        <v>7663</v>
      </c>
      <c r="L5" s="65">
        <v>7915</v>
      </c>
      <c r="M5" s="65">
        <v>8063</v>
      </c>
      <c r="O5" s="5" t="s">
        <v>2</v>
      </c>
      <c r="P5" s="18">
        <v>68</v>
      </c>
      <c r="Q5" s="18">
        <v>68</v>
      </c>
      <c r="R5" s="18">
        <v>56</v>
      </c>
      <c r="S5" s="18">
        <v>56</v>
      </c>
      <c r="T5" s="18">
        <v>39</v>
      </c>
      <c r="U5" s="18">
        <v>39</v>
      </c>
      <c r="V5" s="37">
        <v>68</v>
      </c>
      <c r="W5" s="37">
        <v>68</v>
      </c>
      <c r="X5" s="37">
        <v>56</v>
      </c>
      <c r="Y5" s="37">
        <v>56</v>
      </c>
      <c r="Z5" s="37">
        <v>39</v>
      </c>
      <c r="AA5" s="37">
        <v>39</v>
      </c>
      <c r="AB5" s="85"/>
      <c r="AC5" s="89" t="s">
        <v>34</v>
      </c>
      <c r="AD5" s="19" t="s">
        <v>36</v>
      </c>
    </row>
    <row r="6" spans="1:30" x14ac:dyDescent="0.25">
      <c r="A6" s="55" t="s">
        <v>3</v>
      </c>
      <c r="B6" s="69">
        <v>11157</v>
      </c>
      <c r="C6" s="69">
        <v>10678</v>
      </c>
      <c r="D6" s="69">
        <v>11096</v>
      </c>
      <c r="E6" s="69">
        <v>11099</v>
      </c>
      <c r="F6" s="61">
        <v>11652</v>
      </c>
      <c r="G6" s="68">
        <v>12632</v>
      </c>
      <c r="H6" s="65">
        <v>7681</v>
      </c>
      <c r="I6" s="65">
        <v>7778</v>
      </c>
      <c r="J6" s="56">
        <v>7239</v>
      </c>
      <c r="K6" s="56">
        <v>7376</v>
      </c>
      <c r="L6" s="65">
        <v>7932</v>
      </c>
      <c r="M6" s="65">
        <v>8273</v>
      </c>
      <c r="O6" s="5" t="s">
        <v>3</v>
      </c>
      <c r="P6" s="18">
        <v>309</v>
      </c>
      <c r="Q6" s="18">
        <v>309</v>
      </c>
      <c r="R6" s="18" t="s">
        <v>37</v>
      </c>
      <c r="S6" s="18" t="s">
        <v>37</v>
      </c>
      <c r="T6" s="18" t="s">
        <v>38</v>
      </c>
      <c r="U6" s="18" t="s">
        <v>38</v>
      </c>
      <c r="V6" s="37">
        <v>309</v>
      </c>
      <c r="W6" s="37">
        <v>309</v>
      </c>
      <c r="X6" s="37" t="s">
        <v>37</v>
      </c>
      <c r="Y6" s="37" t="s">
        <v>37</v>
      </c>
      <c r="Z6" s="37" t="s">
        <v>38</v>
      </c>
      <c r="AA6" s="37" t="s">
        <v>38</v>
      </c>
      <c r="AB6" s="85"/>
      <c r="AC6" s="90" t="s">
        <v>33</v>
      </c>
      <c r="AD6" s="34" t="s">
        <v>35</v>
      </c>
    </row>
    <row r="7" spans="1:30" x14ac:dyDescent="0.25">
      <c r="A7" s="55" t="s">
        <v>4</v>
      </c>
      <c r="B7" s="58">
        <v>15845</v>
      </c>
      <c r="C7" s="60">
        <v>13905</v>
      </c>
      <c r="D7" s="59">
        <v>14757</v>
      </c>
      <c r="E7" s="68">
        <v>12831</v>
      </c>
      <c r="F7" s="60">
        <v>13204</v>
      </c>
      <c r="G7" s="59">
        <v>14521</v>
      </c>
      <c r="H7" s="63">
        <v>8544</v>
      </c>
      <c r="I7" s="65">
        <v>7738</v>
      </c>
      <c r="J7" s="65">
        <v>7935</v>
      </c>
      <c r="K7" s="65">
        <v>7745</v>
      </c>
      <c r="L7" s="65">
        <v>8336</v>
      </c>
      <c r="M7" s="65">
        <v>8123</v>
      </c>
      <c r="O7" s="5" t="s">
        <v>4</v>
      </c>
      <c r="P7" s="36">
        <v>68</v>
      </c>
      <c r="Q7" s="36">
        <v>56</v>
      </c>
      <c r="R7" s="36">
        <v>39</v>
      </c>
      <c r="S7" s="36">
        <v>309</v>
      </c>
      <c r="T7" s="36" t="s">
        <v>37</v>
      </c>
      <c r="U7" s="36" t="s">
        <v>38</v>
      </c>
      <c r="V7" s="35">
        <v>68</v>
      </c>
      <c r="W7" s="35">
        <v>56</v>
      </c>
      <c r="X7" s="35">
        <v>39</v>
      </c>
      <c r="Y7" s="35">
        <v>309</v>
      </c>
      <c r="Z7" s="35" t="s">
        <v>37</v>
      </c>
      <c r="AA7" s="35" t="s">
        <v>38</v>
      </c>
      <c r="AB7" s="86"/>
      <c r="AC7" s="51"/>
      <c r="AD7" s="52"/>
    </row>
    <row r="8" spans="1:30" x14ac:dyDescent="0.25">
      <c r="A8" s="55" t="s">
        <v>5</v>
      </c>
      <c r="B8" s="58">
        <v>15786</v>
      </c>
      <c r="C8" s="60">
        <v>13808</v>
      </c>
      <c r="D8" s="59">
        <v>14875</v>
      </c>
      <c r="E8" s="61">
        <v>12145</v>
      </c>
      <c r="F8" s="60">
        <v>13303</v>
      </c>
      <c r="G8" s="60">
        <v>13633</v>
      </c>
      <c r="H8" s="65">
        <v>8188</v>
      </c>
      <c r="I8" s="65">
        <v>7883</v>
      </c>
      <c r="J8" s="65">
        <v>8042</v>
      </c>
      <c r="K8" s="65">
        <v>7720</v>
      </c>
      <c r="L8" s="65">
        <v>8017</v>
      </c>
      <c r="M8" s="65">
        <v>7831</v>
      </c>
      <c r="O8" s="5" t="s">
        <v>5</v>
      </c>
      <c r="P8" s="36">
        <v>68</v>
      </c>
      <c r="Q8" s="36">
        <v>56</v>
      </c>
      <c r="R8" s="36">
        <v>39</v>
      </c>
      <c r="S8" s="36">
        <v>309</v>
      </c>
      <c r="T8" s="36" t="s">
        <v>37</v>
      </c>
      <c r="U8" s="36" t="s">
        <v>38</v>
      </c>
      <c r="V8" s="35">
        <v>68</v>
      </c>
      <c r="W8" s="35">
        <v>56</v>
      </c>
      <c r="X8" s="35">
        <v>39</v>
      </c>
      <c r="Y8" s="35">
        <v>309</v>
      </c>
      <c r="Z8" s="35" t="s">
        <v>37</v>
      </c>
      <c r="AA8" s="35" t="s">
        <v>38</v>
      </c>
      <c r="AB8" s="87"/>
      <c r="AC8" s="51"/>
      <c r="AD8" s="52"/>
    </row>
    <row r="9" spans="1:30" x14ac:dyDescent="0.25">
      <c r="A9" s="55" t="s">
        <v>6</v>
      </c>
      <c r="B9" s="58">
        <v>15844</v>
      </c>
      <c r="C9" s="60">
        <v>13869</v>
      </c>
      <c r="D9" s="59">
        <v>14397</v>
      </c>
      <c r="E9" s="68">
        <v>12261</v>
      </c>
      <c r="F9" s="60">
        <v>13171</v>
      </c>
      <c r="G9" s="59">
        <v>14043</v>
      </c>
      <c r="H9" s="65">
        <v>8102</v>
      </c>
      <c r="I9" s="65">
        <v>8093</v>
      </c>
      <c r="J9" s="65">
        <v>8116</v>
      </c>
      <c r="K9" s="65">
        <v>8025</v>
      </c>
      <c r="L9" s="65">
        <v>8325</v>
      </c>
      <c r="M9" s="65">
        <v>8245</v>
      </c>
      <c r="O9" s="5" t="s">
        <v>6</v>
      </c>
      <c r="P9" s="36">
        <v>68</v>
      </c>
      <c r="Q9" s="36">
        <v>56</v>
      </c>
      <c r="R9" s="36">
        <v>39</v>
      </c>
      <c r="S9" s="36">
        <v>309</v>
      </c>
      <c r="T9" s="36" t="s">
        <v>37</v>
      </c>
      <c r="U9" s="36" t="s">
        <v>38</v>
      </c>
      <c r="V9" s="35">
        <v>68</v>
      </c>
      <c r="W9" s="35">
        <v>56</v>
      </c>
      <c r="X9" s="35">
        <v>39</v>
      </c>
      <c r="Y9" s="35">
        <v>309</v>
      </c>
      <c r="Z9" s="35" t="s">
        <v>37</v>
      </c>
      <c r="AA9" s="35" t="s">
        <v>38</v>
      </c>
      <c r="AB9" s="87"/>
      <c r="AC9" s="51"/>
      <c r="AD9" s="52"/>
    </row>
    <row r="10" spans="1:30" x14ac:dyDescent="0.25">
      <c r="A10" s="55" t="s">
        <v>7</v>
      </c>
      <c r="B10" s="66">
        <v>3172</v>
      </c>
      <c r="C10" s="66">
        <v>3141</v>
      </c>
      <c r="D10" s="66">
        <v>3045</v>
      </c>
      <c r="E10" s="65">
        <v>7890</v>
      </c>
      <c r="F10" s="63">
        <v>8630</v>
      </c>
      <c r="G10" s="65">
        <v>8436</v>
      </c>
      <c r="H10" s="65">
        <v>7637</v>
      </c>
      <c r="I10" s="56">
        <v>7368</v>
      </c>
      <c r="J10" s="56">
        <v>7499</v>
      </c>
      <c r="K10" s="66">
        <v>3458</v>
      </c>
      <c r="L10" s="66">
        <v>3466</v>
      </c>
      <c r="M10" s="66">
        <v>3187</v>
      </c>
      <c r="O10" s="5" t="s">
        <v>7</v>
      </c>
      <c r="P10" s="16"/>
      <c r="Q10" s="16"/>
      <c r="R10" s="16"/>
      <c r="S10" s="40" t="s">
        <v>39</v>
      </c>
      <c r="T10" s="40" t="s">
        <v>39</v>
      </c>
      <c r="U10" s="40" t="s">
        <v>9</v>
      </c>
      <c r="V10" s="40" t="s">
        <v>30</v>
      </c>
      <c r="W10" s="40" t="s">
        <v>30</v>
      </c>
      <c r="X10" s="40" t="s">
        <v>30</v>
      </c>
      <c r="Y10" s="16"/>
      <c r="Z10" s="16"/>
      <c r="AA10" s="16"/>
      <c r="AB10" s="2"/>
      <c r="AC10" s="51"/>
      <c r="AD10" s="52"/>
    </row>
    <row r="12" spans="1:30" x14ac:dyDescent="0.25">
      <c r="A12" t="s">
        <v>49</v>
      </c>
    </row>
    <row r="13" spans="1:30" x14ac:dyDescent="0.25">
      <c r="A13" s="54"/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O13" s="38"/>
      <c r="P13" s="39">
        <v>1</v>
      </c>
      <c r="Q13" s="39">
        <v>2</v>
      </c>
      <c r="R13" s="39">
        <v>3</v>
      </c>
      <c r="S13" s="39">
        <v>4</v>
      </c>
      <c r="T13" s="39">
        <v>5</v>
      </c>
      <c r="U13" s="39">
        <v>6</v>
      </c>
      <c r="V13" s="39">
        <v>7</v>
      </c>
      <c r="W13" s="39">
        <v>8</v>
      </c>
      <c r="X13" s="39">
        <v>9</v>
      </c>
      <c r="Y13" s="39">
        <v>10</v>
      </c>
      <c r="Z13" s="39">
        <v>11</v>
      </c>
      <c r="AA13" s="39">
        <v>12</v>
      </c>
    </row>
    <row r="14" spans="1:30" x14ac:dyDescent="0.25">
      <c r="A14" s="55" t="s">
        <v>0</v>
      </c>
      <c r="B14" s="56">
        <v>0.41799999999999998</v>
      </c>
      <c r="C14" s="57">
        <v>0.40799999999999997</v>
      </c>
      <c r="D14" s="57">
        <v>0.40699999999999997</v>
      </c>
      <c r="E14" s="56">
        <v>0.42799999999999999</v>
      </c>
      <c r="F14" s="56">
        <v>0.42</v>
      </c>
      <c r="G14" s="56">
        <v>0.434</v>
      </c>
      <c r="H14" s="56">
        <v>0.49299999999999999</v>
      </c>
      <c r="I14" s="56">
        <v>0.47899999999999998</v>
      </c>
      <c r="J14" s="56">
        <v>0.501</v>
      </c>
      <c r="K14" s="58">
        <v>1.3540000000000001</v>
      </c>
      <c r="L14" s="58">
        <v>1.2709999999999999</v>
      </c>
      <c r="M14" s="59">
        <v>1.179</v>
      </c>
      <c r="O14" s="5" t="s">
        <v>0</v>
      </c>
      <c r="P14" s="15">
        <v>68</v>
      </c>
      <c r="Q14" s="15">
        <v>68</v>
      </c>
      <c r="R14" s="15">
        <v>68</v>
      </c>
      <c r="S14" s="15">
        <v>56</v>
      </c>
      <c r="T14" s="15">
        <v>56</v>
      </c>
      <c r="U14" s="15">
        <v>56</v>
      </c>
      <c r="V14" s="15">
        <v>39</v>
      </c>
      <c r="W14" s="15">
        <v>39</v>
      </c>
      <c r="X14" s="15">
        <v>39</v>
      </c>
      <c r="Y14" s="73" t="s">
        <v>0</v>
      </c>
      <c r="Z14" s="73" t="s">
        <v>0</v>
      </c>
      <c r="AA14" s="73" t="s">
        <v>0</v>
      </c>
      <c r="AB14" s="76" t="s">
        <v>51</v>
      </c>
    </row>
    <row r="15" spans="1:30" x14ac:dyDescent="0.25">
      <c r="A15" s="55" t="s">
        <v>1</v>
      </c>
      <c r="B15" s="57">
        <v>0.40400000000000003</v>
      </c>
      <c r="C15" s="57">
        <v>0.40100000000000002</v>
      </c>
      <c r="D15" s="57">
        <v>0.40200000000000002</v>
      </c>
      <c r="E15" s="56">
        <v>0.46899999999999997</v>
      </c>
      <c r="F15" s="56">
        <v>0.48599999999999999</v>
      </c>
      <c r="G15" s="56">
        <v>0.49</v>
      </c>
      <c r="H15" s="56">
        <v>0.47799999999999998</v>
      </c>
      <c r="I15" s="56">
        <v>0.48799999999999999</v>
      </c>
      <c r="J15" s="56">
        <v>0.48699999999999999</v>
      </c>
      <c r="K15" s="60">
        <v>1.1519999999999999</v>
      </c>
      <c r="L15" s="59">
        <v>1.181</v>
      </c>
      <c r="M15" s="61">
        <v>0.92500000000000004</v>
      </c>
      <c r="O15" s="5" t="s">
        <v>1</v>
      </c>
      <c r="P15" s="15">
        <v>309</v>
      </c>
      <c r="Q15" s="15">
        <v>309</v>
      </c>
      <c r="R15" s="15">
        <v>309</v>
      </c>
      <c r="S15" s="15" t="s">
        <v>37</v>
      </c>
      <c r="T15" s="15" t="s">
        <v>37</v>
      </c>
      <c r="U15" s="15" t="s">
        <v>37</v>
      </c>
      <c r="V15" s="15" t="s">
        <v>38</v>
      </c>
      <c r="W15" s="15" t="s">
        <v>38</v>
      </c>
      <c r="X15" s="15" t="s">
        <v>38</v>
      </c>
      <c r="Y15" s="73" t="s">
        <v>1</v>
      </c>
      <c r="Z15" s="73" t="s">
        <v>1</v>
      </c>
      <c r="AA15" s="73" t="s">
        <v>1</v>
      </c>
    </row>
    <row r="16" spans="1:30" x14ac:dyDescent="0.25">
      <c r="A16" s="55" t="s">
        <v>2</v>
      </c>
      <c r="B16" s="57">
        <v>0.36299999999999999</v>
      </c>
      <c r="C16" s="57">
        <v>0.35899999999999999</v>
      </c>
      <c r="D16" s="57">
        <v>0.35799999999999998</v>
      </c>
      <c r="E16" s="62">
        <v>0.31</v>
      </c>
      <c r="F16" s="62">
        <v>0.313</v>
      </c>
      <c r="G16" s="62">
        <v>0.317</v>
      </c>
      <c r="H16" s="57">
        <v>0.377</v>
      </c>
      <c r="I16" s="57">
        <v>0.38200000000000001</v>
      </c>
      <c r="J16" s="57">
        <v>0.40100000000000002</v>
      </c>
      <c r="K16" s="63">
        <v>0.69</v>
      </c>
      <c r="L16" s="64">
        <v>0.71099999999999997</v>
      </c>
      <c r="M16" s="64">
        <v>0.73399999999999999</v>
      </c>
      <c r="O16" s="5" t="s">
        <v>2</v>
      </c>
      <c r="P16" s="18">
        <v>68</v>
      </c>
      <c r="Q16" s="18">
        <v>68</v>
      </c>
      <c r="R16" s="18">
        <v>68</v>
      </c>
      <c r="S16" s="18">
        <v>56</v>
      </c>
      <c r="T16" s="18">
        <v>56</v>
      </c>
      <c r="U16" s="18">
        <v>56</v>
      </c>
      <c r="V16" s="18">
        <v>39</v>
      </c>
      <c r="W16" s="18">
        <v>39</v>
      </c>
      <c r="X16" s="18">
        <v>39</v>
      </c>
      <c r="Y16" s="73" t="s">
        <v>2</v>
      </c>
      <c r="Z16" s="73" t="s">
        <v>2</v>
      </c>
      <c r="AA16" s="73" t="s">
        <v>2</v>
      </c>
    </row>
    <row r="17" spans="1:27" x14ac:dyDescent="0.25">
      <c r="A17" s="55" t="s">
        <v>3</v>
      </c>
      <c r="B17" s="57">
        <v>0.34200000000000003</v>
      </c>
      <c r="C17" s="57">
        <v>0.32700000000000001</v>
      </c>
      <c r="D17" s="57">
        <v>0.32400000000000001</v>
      </c>
      <c r="E17" s="57">
        <v>0.36099999999999999</v>
      </c>
      <c r="F17" s="57">
        <v>0.35799999999999998</v>
      </c>
      <c r="G17" s="57">
        <v>0.36899999999999999</v>
      </c>
      <c r="H17" s="57">
        <v>0.39100000000000001</v>
      </c>
      <c r="I17" s="57">
        <v>0.39700000000000002</v>
      </c>
      <c r="J17" s="57">
        <v>0.39500000000000002</v>
      </c>
      <c r="K17" s="65">
        <v>0.55400000000000005</v>
      </c>
      <c r="L17" s="65">
        <v>0.56200000000000006</v>
      </c>
      <c r="M17" s="65">
        <v>0.56599999999999995</v>
      </c>
      <c r="O17" s="5" t="s">
        <v>3</v>
      </c>
      <c r="P17" s="18">
        <v>309</v>
      </c>
      <c r="Q17" s="18">
        <v>309</v>
      </c>
      <c r="R17" s="18">
        <v>309</v>
      </c>
      <c r="S17" s="18" t="s">
        <v>37</v>
      </c>
      <c r="T17" s="18" t="s">
        <v>37</v>
      </c>
      <c r="U17" s="18" t="s">
        <v>37</v>
      </c>
      <c r="V17" s="18" t="s">
        <v>38</v>
      </c>
      <c r="W17" s="18" t="s">
        <v>38</v>
      </c>
      <c r="X17" s="18" t="s">
        <v>38</v>
      </c>
      <c r="Y17" s="73" t="s">
        <v>3</v>
      </c>
      <c r="Z17" s="73" t="s">
        <v>3</v>
      </c>
      <c r="AA17" s="73" t="s">
        <v>3</v>
      </c>
    </row>
    <row r="18" spans="1:27" x14ac:dyDescent="0.25">
      <c r="A18" s="55" t="s">
        <v>4</v>
      </c>
      <c r="B18" s="57">
        <v>0.40699999999999997</v>
      </c>
      <c r="C18" s="57">
        <v>0.38900000000000001</v>
      </c>
      <c r="D18" s="57">
        <v>0.38900000000000001</v>
      </c>
      <c r="E18" s="57">
        <v>0.40500000000000003</v>
      </c>
      <c r="F18" s="57">
        <v>0.39600000000000002</v>
      </c>
      <c r="G18" s="57">
        <v>0.40600000000000003</v>
      </c>
      <c r="H18" s="57">
        <v>0.41499999999999998</v>
      </c>
      <c r="I18" s="57">
        <v>0.375</v>
      </c>
      <c r="J18" s="56">
        <v>0.41699999999999998</v>
      </c>
      <c r="K18" s="56">
        <v>0.45800000000000002</v>
      </c>
      <c r="L18" s="56">
        <v>0.46500000000000002</v>
      </c>
      <c r="M18" s="56">
        <v>0.46</v>
      </c>
      <c r="O18" s="5" t="s">
        <v>4</v>
      </c>
      <c r="P18" s="36">
        <v>68</v>
      </c>
      <c r="Q18" s="36">
        <v>68</v>
      </c>
      <c r="R18" s="36">
        <v>68</v>
      </c>
      <c r="S18" s="36">
        <v>56</v>
      </c>
      <c r="T18" s="36">
        <v>56</v>
      </c>
      <c r="U18" s="36">
        <v>56</v>
      </c>
      <c r="V18" s="36">
        <v>39</v>
      </c>
      <c r="W18" s="36">
        <v>39</v>
      </c>
      <c r="X18" s="36">
        <v>39</v>
      </c>
      <c r="Y18" s="73" t="s">
        <v>4</v>
      </c>
      <c r="Z18" s="73" t="s">
        <v>4</v>
      </c>
      <c r="AA18" s="73" t="s">
        <v>4</v>
      </c>
    </row>
    <row r="19" spans="1:27" x14ac:dyDescent="0.25">
      <c r="A19" s="55" t="s">
        <v>5</v>
      </c>
      <c r="B19" s="56">
        <v>0.42399999999999999</v>
      </c>
      <c r="C19" s="57">
        <v>0.41099999999999998</v>
      </c>
      <c r="D19" s="57">
        <v>0.39900000000000002</v>
      </c>
      <c r="E19" s="56">
        <v>0.48199999999999998</v>
      </c>
      <c r="F19" s="56">
        <v>0.47699999999999998</v>
      </c>
      <c r="G19" s="56">
        <v>0.48099999999999998</v>
      </c>
      <c r="H19" s="56">
        <v>0.44900000000000001</v>
      </c>
      <c r="I19" s="56">
        <v>0.45200000000000001</v>
      </c>
      <c r="J19" s="56">
        <v>0.442</v>
      </c>
      <c r="K19" s="62">
        <v>0.27700000000000002</v>
      </c>
      <c r="L19" s="62">
        <v>0.28599999999999998</v>
      </c>
      <c r="M19" s="62">
        <v>0.28799999999999998</v>
      </c>
      <c r="O19" s="5" t="s">
        <v>5</v>
      </c>
      <c r="P19" s="36">
        <v>309</v>
      </c>
      <c r="Q19" s="36">
        <v>309</v>
      </c>
      <c r="R19" s="36">
        <v>309</v>
      </c>
      <c r="S19" s="36" t="s">
        <v>37</v>
      </c>
      <c r="T19" s="36" t="s">
        <v>37</v>
      </c>
      <c r="U19" s="36" t="s">
        <v>37</v>
      </c>
      <c r="V19" s="36" t="s">
        <v>38</v>
      </c>
      <c r="W19" s="36" t="s">
        <v>38</v>
      </c>
      <c r="X19" s="36" t="s">
        <v>38</v>
      </c>
      <c r="Y19" s="73" t="s">
        <v>5</v>
      </c>
      <c r="Z19" s="73" t="s">
        <v>5</v>
      </c>
      <c r="AA19" s="73" t="s">
        <v>5</v>
      </c>
    </row>
    <row r="20" spans="1:27" x14ac:dyDescent="0.25">
      <c r="A20" s="55" t="s">
        <v>6</v>
      </c>
      <c r="B20" s="66">
        <v>4.7E-2</v>
      </c>
      <c r="C20" s="66">
        <v>4.9000000000000002E-2</v>
      </c>
      <c r="D20" s="66">
        <v>4.9000000000000002E-2</v>
      </c>
      <c r="E20" s="66">
        <v>4.8000000000000001E-2</v>
      </c>
      <c r="F20" s="66">
        <v>5.0999999999999997E-2</v>
      </c>
      <c r="G20" s="66">
        <v>4.9000000000000002E-2</v>
      </c>
      <c r="H20" s="66">
        <v>5.1999999999999998E-2</v>
      </c>
      <c r="I20" s="66">
        <v>4.1000000000000002E-2</v>
      </c>
      <c r="J20" s="66">
        <v>4.8000000000000001E-2</v>
      </c>
      <c r="K20" s="67">
        <v>0.217</v>
      </c>
      <c r="L20" s="67">
        <v>0.20200000000000001</v>
      </c>
      <c r="M20" s="67">
        <v>0.20499999999999999</v>
      </c>
      <c r="O20" s="5" t="s">
        <v>6</v>
      </c>
      <c r="P20" s="70"/>
      <c r="Q20" s="70"/>
      <c r="R20" s="70"/>
      <c r="S20" s="70"/>
      <c r="T20" s="70"/>
      <c r="U20" s="70"/>
      <c r="V20" s="70"/>
      <c r="W20" s="70"/>
      <c r="X20" s="70"/>
      <c r="Y20" s="73" t="s">
        <v>6</v>
      </c>
      <c r="Z20" s="73" t="s">
        <v>6</v>
      </c>
      <c r="AA20" s="73" t="s">
        <v>6</v>
      </c>
    </row>
    <row r="21" spans="1:27" x14ac:dyDescent="0.25">
      <c r="A21" s="55" t="s">
        <v>7</v>
      </c>
      <c r="B21" s="66">
        <v>4.8000000000000001E-2</v>
      </c>
      <c r="C21" s="66">
        <v>4.7E-2</v>
      </c>
      <c r="D21" s="66">
        <v>4.8000000000000001E-2</v>
      </c>
      <c r="E21" s="66">
        <v>4.8000000000000001E-2</v>
      </c>
      <c r="F21" s="66">
        <v>4.9000000000000002E-2</v>
      </c>
      <c r="G21" s="66">
        <v>4.9000000000000002E-2</v>
      </c>
      <c r="H21" s="66">
        <v>0.10199999999999999</v>
      </c>
      <c r="I21" s="66">
        <v>0.10299999999999999</v>
      </c>
      <c r="J21" s="66">
        <v>0.10100000000000001</v>
      </c>
      <c r="K21" s="66">
        <v>0.122</v>
      </c>
      <c r="L21" s="66">
        <v>0.121</v>
      </c>
      <c r="M21" s="66">
        <v>0.123</v>
      </c>
      <c r="O21" s="5" t="s">
        <v>7</v>
      </c>
      <c r="P21" s="71"/>
      <c r="Q21" s="71"/>
      <c r="R21" s="71"/>
      <c r="S21" s="72"/>
      <c r="T21" s="72"/>
      <c r="U21" s="72"/>
      <c r="V21" s="75" t="s">
        <v>50</v>
      </c>
      <c r="W21" s="75" t="s">
        <v>50</v>
      </c>
      <c r="X21" s="75" t="s">
        <v>50</v>
      </c>
      <c r="Y21" s="74" t="s">
        <v>7</v>
      </c>
      <c r="Z21" s="74" t="s">
        <v>7</v>
      </c>
      <c r="AA21" s="74" t="s">
        <v>7</v>
      </c>
    </row>
    <row r="23" spans="1:27" x14ac:dyDescent="0.25">
      <c r="A23" t="s">
        <v>52</v>
      </c>
    </row>
    <row r="24" spans="1:27" ht="25.5" x14ac:dyDescent="0.25">
      <c r="A24" s="77" t="s">
        <v>53</v>
      </c>
      <c r="B24" s="16">
        <v>0</v>
      </c>
      <c r="C24" s="16">
        <v>25</v>
      </c>
      <c r="D24" s="16">
        <v>125</v>
      </c>
      <c r="E24" s="16">
        <v>250</v>
      </c>
      <c r="F24" s="16">
        <v>500</v>
      </c>
      <c r="G24" s="16">
        <v>750</v>
      </c>
      <c r="H24" s="16">
        <v>1000</v>
      </c>
      <c r="I24" s="16">
        <v>1500</v>
      </c>
      <c r="J24" s="16">
        <v>2000</v>
      </c>
      <c r="L24" t="s">
        <v>54</v>
      </c>
    </row>
    <row r="25" spans="1:27" x14ac:dyDescent="0.25">
      <c r="A25" s="77" t="s">
        <v>55</v>
      </c>
      <c r="B25" s="16">
        <f>AVERAGE(H21:J21)</f>
        <v>0.10199999999999999</v>
      </c>
      <c r="C25" s="16">
        <f>AVERAGE(K21:M21)</f>
        <v>0.122</v>
      </c>
      <c r="D25" s="16">
        <f>AVERAGE(K20:M20)</f>
        <v>0.20799999999999999</v>
      </c>
      <c r="E25" s="16">
        <f>AVERAGE(K19:M19)</f>
        <v>0.28366666666666668</v>
      </c>
      <c r="F25" s="16">
        <f>AVERAGE(K18:M18)</f>
        <v>0.46100000000000002</v>
      </c>
      <c r="G25" s="16">
        <f>AVERAGE(K17:M17)</f>
        <v>0.56066666666666665</v>
      </c>
      <c r="H25" s="16">
        <f>AVERAGE(K16:M16)</f>
        <v>0.71166666666666656</v>
      </c>
      <c r="I25" s="16">
        <f>AVERAGE(K15:M15)</f>
        <v>1.0860000000000001</v>
      </c>
      <c r="J25" s="16">
        <f>AVERAGE(K14:M14)</f>
        <v>1.268</v>
      </c>
      <c r="L25" t="s">
        <v>56</v>
      </c>
      <c r="M25">
        <v>0.12670000000000001</v>
      </c>
    </row>
    <row r="26" spans="1:27" x14ac:dyDescent="0.25">
      <c r="L26" t="s">
        <v>57</v>
      </c>
      <c r="M26">
        <v>5.9999999999999995E-4</v>
      </c>
    </row>
    <row r="28" spans="1:27" ht="36.75" x14ac:dyDescent="0.25">
      <c r="B28" s="78"/>
      <c r="C28" s="78" t="s">
        <v>58</v>
      </c>
      <c r="D28" s="78" t="s">
        <v>59</v>
      </c>
      <c r="E28" s="78" t="s">
        <v>60</v>
      </c>
      <c r="F28" s="78" t="s">
        <v>61</v>
      </c>
      <c r="G28" s="79" t="s">
        <v>62</v>
      </c>
      <c r="H28" s="78" t="s">
        <v>63</v>
      </c>
    </row>
    <row r="29" spans="1:27" x14ac:dyDescent="0.25">
      <c r="A29" s="88" t="s">
        <v>40</v>
      </c>
      <c r="B29" s="80">
        <v>68</v>
      </c>
      <c r="C29" s="81">
        <f>AVERAGE(B14:D14)</f>
        <v>0.41099999999999998</v>
      </c>
      <c r="D29" s="82">
        <f>(C29-$M$25)/$M$26*2</f>
        <v>947.66666666666674</v>
      </c>
      <c r="E29" s="78">
        <f>AVERAGE(B3:C3)</f>
        <v>15404.5</v>
      </c>
      <c r="F29" s="78">
        <f>AVERAGE(H3:I3)</f>
        <v>7478.5</v>
      </c>
      <c r="G29" s="78">
        <f>E29-F29</f>
        <v>7926</v>
      </c>
      <c r="H29" s="82">
        <f>G29/D29</f>
        <v>8.3637003165670052</v>
      </c>
    </row>
    <row r="30" spans="1:27" x14ac:dyDescent="0.25">
      <c r="A30" s="88" t="s">
        <v>40</v>
      </c>
      <c r="B30" s="80">
        <v>56</v>
      </c>
      <c r="C30" s="81">
        <f>AVERAGE(E14:G14)</f>
        <v>0.42733333333333334</v>
      </c>
      <c r="D30" s="82">
        <f t="shared" ref="D30:D46" si="0">(C30-$M$25)/$M$26*2</f>
        <v>1002.1111111111111</v>
      </c>
      <c r="E30" s="78">
        <f>AVERAGE(D3:E3)</f>
        <v>14222</v>
      </c>
      <c r="F30" s="78">
        <f>AVERAGE(J3:K3)</f>
        <v>7679.5</v>
      </c>
      <c r="G30" s="78">
        <f t="shared" ref="G30:G46" si="1">E30-F30</f>
        <v>6542.5</v>
      </c>
      <c r="H30" s="82">
        <f t="shared" ref="H30:H46" si="2">G30/D30</f>
        <v>6.5287171526776806</v>
      </c>
    </row>
    <row r="31" spans="1:27" x14ac:dyDescent="0.25">
      <c r="A31" s="88" t="s">
        <v>40</v>
      </c>
      <c r="B31" s="80">
        <v>39</v>
      </c>
      <c r="C31" s="81">
        <f>AVERAGE(H14:J14)</f>
        <v>0.49099999999999994</v>
      </c>
      <c r="D31" s="82">
        <f t="shared" si="0"/>
        <v>1214.3333333333333</v>
      </c>
      <c r="E31" s="78">
        <f>AVERAGE(F3:G3)</f>
        <v>14785</v>
      </c>
      <c r="F31" s="78">
        <f>AVERAGE(L3:M3)</f>
        <v>8153</v>
      </c>
      <c r="G31" s="78">
        <f t="shared" si="1"/>
        <v>6632</v>
      </c>
      <c r="H31" s="82">
        <f t="shared" si="2"/>
        <v>5.4614328849849025</v>
      </c>
    </row>
    <row r="32" spans="1:27" x14ac:dyDescent="0.25">
      <c r="A32" s="88" t="s">
        <v>40</v>
      </c>
      <c r="B32" s="80">
        <v>309</v>
      </c>
      <c r="C32" s="81">
        <f>AVERAGE(B15:D15)</f>
        <v>0.40233333333333338</v>
      </c>
      <c r="D32" s="82">
        <f t="shared" si="0"/>
        <v>918.77777777777806</v>
      </c>
      <c r="E32" s="78">
        <f>AVERAGE(B4:C4)</f>
        <v>12362.5</v>
      </c>
      <c r="F32" s="78">
        <f>AVERAGE(H4:I4)</f>
        <v>7639.5</v>
      </c>
      <c r="G32" s="78">
        <f t="shared" si="1"/>
        <v>4723</v>
      </c>
      <c r="H32" s="82">
        <f t="shared" si="2"/>
        <v>5.1405248518563296</v>
      </c>
    </row>
    <row r="33" spans="1:8" x14ac:dyDescent="0.25">
      <c r="A33" s="88" t="s">
        <v>40</v>
      </c>
      <c r="B33" s="80" t="s">
        <v>37</v>
      </c>
      <c r="C33" s="81">
        <f>AVERAGE(E15:G15)</f>
        <v>0.48166666666666663</v>
      </c>
      <c r="D33" s="82">
        <f t="shared" si="0"/>
        <v>1183.2222222222222</v>
      </c>
      <c r="E33" s="78">
        <f>AVERAGE(D4:E4)</f>
        <v>12401</v>
      </c>
      <c r="F33" s="78">
        <f>AVERAGE(J4:K4)</f>
        <v>7660.5</v>
      </c>
      <c r="G33" s="78">
        <f t="shared" si="1"/>
        <v>4740.5</v>
      </c>
      <c r="H33" s="82">
        <f t="shared" si="2"/>
        <v>4.0064325288759512</v>
      </c>
    </row>
    <row r="34" spans="1:8" x14ac:dyDescent="0.25">
      <c r="A34" s="88" t="s">
        <v>40</v>
      </c>
      <c r="B34" s="80" t="s">
        <v>38</v>
      </c>
      <c r="C34" s="81">
        <f>AVERAGE(H15:J15)</f>
        <v>0.48433333333333328</v>
      </c>
      <c r="D34" s="82">
        <f t="shared" si="0"/>
        <v>1192.1111111111109</v>
      </c>
      <c r="E34" s="78">
        <f>AVERAGE(F4:G4)</f>
        <v>13489.5</v>
      </c>
      <c r="F34" s="78">
        <f>AVERAGE(L5:M5)</f>
        <v>7989</v>
      </c>
      <c r="G34" s="78">
        <f t="shared" si="1"/>
        <v>5500.5</v>
      </c>
      <c r="H34" s="82">
        <f t="shared" si="2"/>
        <v>4.6140833255662237</v>
      </c>
    </row>
    <row r="35" spans="1:8" x14ac:dyDescent="0.25">
      <c r="A35" s="89" t="s">
        <v>34</v>
      </c>
      <c r="B35" s="83">
        <v>68</v>
      </c>
      <c r="C35" s="81">
        <f>AVERAGE(B16:D16)</f>
        <v>0.36000000000000004</v>
      </c>
      <c r="D35" s="82">
        <f t="shared" si="0"/>
        <v>777.66666666666686</v>
      </c>
      <c r="E35" s="78">
        <f>AVERAGE(B5:C5)</f>
        <v>12660</v>
      </c>
      <c r="F35" s="78">
        <f>AVERAGE(H5:I5)</f>
        <v>7578</v>
      </c>
      <c r="G35" s="78">
        <f t="shared" si="1"/>
        <v>5082</v>
      </c>
      <c r="H35" s="82">
        <f t="shared" si="2"/>
        <v>6.534933561937418</v>
      </c>
    </row>
    <row r="36" spans="1:8" x14ac:dyDescent="0.25">
      <c r="A36" s="89" t="s">
        <v>34</v>
      </c>
      <c r="B36" s="83">
        <v>56</v>
      </c>
      <c r="C36" s="81">
        <f>AVERAGE(E16:G16)</f>
        <v>0.3133333333333333</v>
      </c>
      <c r="D36" s="82">
        <f t="shared" si="0"/>
        <v>622.11111111111097</v>
      </c>
      <c r="E36" s="78">
        <f>AVERAGE(D5:E5)</f>
        <v>11430.5</v>
      </c>
      <c r="F36" s="78">
        <f>AVERAGE(J5:K5)</f>
        <v>7637</v>
      </c>
      <c r="G36" s="78">
        <f t="shared" si="1"/>
        <v>3793.5</v>
      </c>
      <c r="H36" s="82">
        <f t="shared" si="2"/>
        <v>6.0977853188069311</v>
      </c>
    </row>
    <row r="37" spans="1:8" x14ac:dyDescent="0.25">
      <c r="A37" s="89" t="s">
        <v>34</v>
      </c>
      <c r="B37" s="83">
        <v>39</v>
      </c>
      <c r="C37" s="81">
        <f>AVERAGE(H16:J16)</f>
        <v>0.38666666666666671</v>
      </c>
      <c r="D37" s="82">
        <f t="shared" si="0"/>
        <v>866.55555555555566</v>
      </c>
      <c r="E37" s="78">
        <f>AVERAGE(F5:G5)</f>
        <v>13290.5</v>
      </c>
      <c r="F37" s="78">
        <f>AVERAGE(L5:M5)</f>
        <v>7989</v>
      </c>
      <c r="G37" s="78">
        <f t="shared" si="1"/>
        <v>5301.5</v>
      </c>
      <c r="H37" s="82">
        <f t="shared" si="2"/>
        <v>6.1178997307347087</v>
      </c>
    </row>
    <row r="38" spans="1:8" x14ac:dyDescent="0.25">
      <c r="A38" s="89" t="s">
        <v>34</v>
      </c>
      <c r="B38" s="83">
        <v>309</v>
      </c>
      <c r="C38" s="81">
        <f>AVERAGE(B17:D17)</f>
        <v>0.33100000000000002</v>
      </c>
      <c r="D38" s="82">
        <f t="shared" si="0"/>
        <v>681.00000000000011</v>
      </c>
      <c r="E38" s="78">
        <f>AVERAGE(B6:C6)</f>
        <v>10917.5</v>
      </c>
      <c r="F38" s="78">
        <f>AVERAGE(H6:I6)</f>
        <v>7729.5</v>
      </c>
      <c r="G38" s="78">
        <f t="shared" si="1"/>
        <v>3188</v>
      </c>
      <c r="H38" s="82">
        <f t="shared" si="2"/>
        <v>4.6813509544787069</v>
      </c>
    </row>
    <row r="39" spans="1:8" x14ac:dyDescent="0.25">
      <c r="A39" s="89" t="s">
        <v>34</v>
      </c>
      <c r="B39" s="83" t="s">
        <v>37</v>
      </c>
      <c r="C39" s="81">
        <f>AVERAGE(E17:G17)</f>
        <v>0.36266666666666669</v>
      </c>
      <c r="D39" s="82">
        <f t="shared" si="0"/>
        <v>786.55555555555566</v>
      </c>
      <c r="E39" s="78">
        <f>AVERAGE(D6:E6)</f>
        <v>11097.5</v>
      </c>
      <c r="F39" s="78">
        <f>AVERAGE(J6:K6)</f>
        <v>7307.5</v>
      </c>
      <c r="G39" s="78">
        <f t="shared" si="1"/>
        <v>3790</v>
      </c>
      <c r="H39" s="82">
        <f t="shared" si="2"/>
        <v>4.8184771860432258</v>
      </c>
    </row>
    <row r="40" spans="1:8" x14ac:dyDescent="0.25">
      <c r="A40" s="89" t="s">
        <v>34</v>
      </c>
      <c r="B40" s="83" t="s">
        <v>38</v>
      </c>
      <c r="C40" s="81">
        <f>AVERAGE(H17:J17)</f>
        <v>0.39433333333333337</v>
      </c>
      <c r="D40" s="82">
        <f t="shared" si="0"/>
        <v>892.11111111111143</v>
      </c>
      <c r="E40" s="78">
        <f>AVERAGE(F6:G6)</f>
        <v>12142</v>
      </c>
      <c r="F40" s="78">
        <f>AVERAGE(L6:M6)</f>
        <v>8102.5</v>
      </c>
      <c r="G40" s="78">
        <f t="shared" si="1"/>
        <v>4039.5</v>
      </c>
      <c r="H40" s="82">
        <f t="shared" si="2"/>
        <v>4.5280234151201881</v>
      </c>
    </row>
    <row r="41" spans="1:8" x14ac:dyDescent="0.25">
      <c r="A41" s="90" t="s">
        <v>33</v>
      </c>
      <c r="B41" s="84">
        <v>68</v>
      </c>
      <c r="C41" s="81">
        <f>AVERAGE(B18:D18)</f>
        <v>0.39500000000000002</v>
      </c>
      <c r="D41" s="82">
        <f t="shared" si="0"/>
        <v>894.33333333333337</v>
      </c>
      <c r="E41" s="78">
        <f>AVERAGE(B7:B9)</f>
        <v>15825</v>
      </c>
      <c r="F41" s="78">
        <f>AVERAGE(H7:H9)</f>
        <v>8278</v>
      </c>
      <c r="G41" s="78">
        <f t="shared" si="1"/>
        <v>7547</v>
      </c>
      <c r="H41" s="82">
        <f t="shared" si="2"/>
        <v>8.4386880357808423</v>
      </c>
    </row>
    <row r="42" spans="1:8" x14ac:dyDescent="0.25">
      <c r="A42" s="90" t="s">
        <v>33</v>
      </c>
      <c r="B42" s="84">
        <v>56</v>
      </c>
      <c r="C42" s="81">
        <f>AVERAGE(E18:G18)</f>
        <v>0.40233333333333338</v>
      </c>
      <c r="D42" s="82">
        <f t="shared" si="0"/>
        <v>918.77777777777806</v>
      </c>
      <c r="E42" s="78">
        <f>AVERAGE(C7:C9)</f>
        <v>13860.666666666666</v>
      </c>
      <c r="F42" s="78">
        <f>AVERAGE(I6:I9)</f>
        <v>7873</v>
      </c>
      <c r="G42" s="78">
        <f t="shared" si="1"/>
        <v>5987.6666666666661</v>
      </c>
      <c r="H42" s="82">
        <f t="shared" si="2"/>
        <v>6.5169911718466533</v>
      </c>
    </row>
    <row r="43" spans="1:8" x14ac:dyDescent="0.25">
      <c r="A43" s="90" t="s">
        <v>33</v>
      </c>
      <c r="B43" s="84">
        <v>39</v>
      </c>
      <c r="C43" s="81">
        <f>AVERAGE(H18:J18)</f>
        <v>0.40233333333333338</v>
      </c>
      <c r="D43" s="82">
        <f t="shared" si="0"/>
        <v>918.77777777777806</v>
      </c>
      <c r="E43" s="78">
        <f>AVERAGE(D7:D9)</f>
        <v>14676.333333333334</v>
      </c>
      <c r="F43" s="78">
        <f>AVERAGE(J6:J9)</f>
        <v>7833</v>
      </c>
      <c r="G43" s="78">
        <f t="shared" si="1"/>
        <v>6843.3333333333339</v>
      </c>
      <c r="H43" s="82">
        <f t="shared" si="2"/>
        <v>7.4483008828153325</v>
      </c>
    </row>
    <row r="44" spans="1:8" x14ac:dyDescent="0.25">
      <c r="A44" s="90" t="s">
        <v>33</v>
      </c>
      <c r="B44" s="84">
        <v>309</v>
      </c>
      <c r="C44" s="81">
        <f>AVERAGE(B19:D19)</f>
        <v>0.41133333333333333</v>
      </c>
      <c r="D44" s="82">
        <f t="shared" si="0"/>
        <v>948.77777777777771</v>
      </c>
      <c r="E44" s="78">
        <f>AVERAGE(E7:E9)</f>
        <v>12412.333333333334</v>
      </c>
      <c r="F44" s="78">
        <f>AVERAGE(K6:K9)</f>
        <v>7716.5</v>
      </c>
      <c r="G44" s="78">
        <f t="shared" si="1"/>
        <v>4695.8333333333339</v>
      </c>
      <c r="H44" s="82">
        <f t="shared" si="2"/>
        <v>4.9493500409884073</v>
      </c>
    </row>
    <row r="45" spans="1:8" x14ac:dyDescent="0.25">
      <c r="A45" s="90" t="s">
        <v>33</v>
      </c>
      <c r="B45" s="84" t="s">
        <v>37</v>
      </c>
      <c r="C45" s="81">
        <f>AVERAGE(F19:H19)</f>
        <v>0.46900000000000003</v>
      </c>
      <c r="D45" s="82">
        <f t="shared" si="0"/>
        <v>1141.0000000000002</v>
      </c>
      <c r="E45" s="78">
        <f>AVERAGE(F7:F9)</f>
        <v>13226</v>
      </c>
      <c r="F45" s="78">
        <f>AVERAGE(L6:L9)</f>
        <v>8152.5</v>
      </c>
      <c r="G45" s="78">
        <f t="shared" si="1"/>
        <v>5073.5</v>
      </c>
      <c r="H45" s="82">
        <f t="shared" si="2"/>
        <v>4.4465381244522337</v>
      </c>
    </row>
    <row r="46" spans="1:8" x14ac:dyDescent="0.25">
      <c r="A46" s="90" t="s">
        <v>33</v>
      </c>
      <c r="B46" s="84" t="s">
        <v>38</v>
      </c>
      <c r="C46" s="81">
        <f>AVERAGE(H19:J19)</f>
        <v>0.44766666666666666</v>
      </c>
      <c r="D46" s="82">
        <f t="shared" si="0"/>
        <v>1069.8888888888889</v>
      </c>
      <c r="E46" s="78">
        <f>AVERAGE(G7:G9)</f>
        <v>14065.666666666666</v>
      </c>
      <c r="F46" s="78">
        <f>AVERAGE(M6:M9)</f>
        <v>8118</v>
      </c>
      <c r="G46" s="78">
        <f t="shared" si="1"/>
        <v>5947.6666666666661</v>
      </c>
      <c r="H46" s="82">
        <f t="shared" si="2"/>
        <v>5.5591442517395357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7B32-118B-439A-B4B0-DED06CBCE994}">
  <dimension ref="A1:D19"/>
  <sheetViews>
    <sheetView tabSelected="1" workbookViewId="0">
      <selection activeCell="D1" sqref="D1"/>
    </sheetView>
  </sheetViews>
  <sheetFormatPr defaultRowHeight="15" x14ac:dyDescent="0.25"/>
  <sheetData>
    <row r="1" spans="1:4" x14ac:dyDescent="0.25">
      <c r="A1" s="91" t="s">
        <v>64</v>
      </c>
      <c r="B1" s="91" t="s">
        <v>65</v>
      </c>
      <c r="C1" s="91" t="s">
        <v>66</v>
      </c>
      <c r="D1" s="91" t="s">
        <v>75</v>
      </c>
    </row>
    <row r="2" spans="1:4" x14ac:dyDescent="0.25">
      <c r="A2" s="91">
        <v>41</v>
      </c>
      <c r="B2" s="91" t="s">
        <v>67</v>
      </c>
      <c r="C2" s="91" t="s">
        <v>68</v>
      </c>
      <c r="D2" s="92">
        <v>8.3637003165670052</v>
      </c>
    </row>
    <row r="3" spans="1:4" x14ac:dyDescent="0.25">
      <c r="A3" s="91">
        <v>41</v>
      </c>
      <c r="B3" s="91" t="s">
        <v>69</v>
      </c>
      <c r="C3" s="91" t="s">
        <v>68</v>
      </c>
      <c r="D3" s="92">
        <v>6.5287171526776806</v>
      </c>
    </row>
    <row r="4" spans="1:4" x14ac:dyDescent="0.25">
      <c r="A4" s="91">
        <v>41</v>
      </c>
      <c r="B4" s="91" t="s">
        <v>70</v>
      </c>
      <c r="C4" s="91" t="s">
        <v>68</v>
      </c>
      <c r="D4" s="92">
        <v>5.4614328849849025</v>
      </c>
    </row>
    <row r="5" spans="1:4" x14ac:dyDescent="0.25">
      <c r="A5" s="91">
        <v>41</v>
      </c>
      <c r="B5" s="91" t="s">
        <v>71</v>
      </c>
      <c r="C5" s="91" t="s">
        <v>72</v>
      </c>
      <c r="D5" s="92">
        <v>5.1405248518563296</v>
      </c>
    </row>
    <row r="6" spans="1:4" x14ac:dyDescent="0.25">
      <c r="A6" s="91">
        <v>41</v>
      </c>
      <c r="B6" s="91" t="s">
        <v>73</v>
      </c>
      <c r="C6" s="91" t="s">
        <v>72</v>
      </c>
      <c r="D6" s="92">
        <v>4.0064325288759512</v>
      </c>
    </row>
    <row r="7" spans="1:4" x14ac:dyDescent="0.25">
      <c r="A7" s="91">
        <v>41</v>
      </c>
      <c r="B7" s="91" t="s">
        <v>74</v>
      </c>
      <c r="C7" s="91" t="s">
        <v>72</v>
      </c>
      <c r="D7" s="92">
        <v>4.6140833255662237</v>
      </c>
    </row>
    <row r="8" spans="1:4" x14ac:dyDescent="0.25">
      <c r="A8" s="91">
        <v>42</v>
      </c>
      <c r="B8" s="91" t="s">
        <v>67</v>
      </c>
      <c r="C8" s="91" t="s">
        <v>68</v>
      </c>
      <c r="D8" s="92">
        <v>6.534933561937418</v>
      </c>
    </row>
    <row r="9" spans="1:4" x14ac:dyDescent="0.25">
      <c r="A9" s="91">
        <v>42</v>
      </c>
      <c r="B9" s="91" t="s">
        <v>69</v>
      </c>
      <c r="C9" s="91" t="s">
        <v>68</v>
      </c>
      <c r="D9" s="92">
        <v>6.0977853188069311</v>
      </c>
    </row>
    <row r="10" spans="1:4" x14ac:dyDescent="0.25">
      <c r="A10" s="91">
        <v>42</v>
      </c>
      <c r="B10" s="91" t="s">
        <v>70</v>
      </c>
      <c r="C10" s="91" t="s">
        <v>68</v>
      </c>
      <c r="D10" s="92">
        <v>6.1178997307347087</v>
      </c>
    </row>
    <row r="11" spans="1:4" x14ac:dyDescent="0.25">
      <c r="A11" s="91">
        <v>42</v>
      </c>
      <c r="B11" s="91" t="s">
        <v>71</v>
      </c>
      <c r="C11" s="91" t="s">
        <v>72</v>
      </c>
      <c r="D11" s="92">
        <v>4.6813509544787069</v>
      </c>
    </row>
    <row r="12" spans="1:4" x14ac:dyDescent="0.25">
      <c r="A12" s="91">
        <v>42</v>
      </c>
      <c r="B12" s="91" t="s">
        <v>73</v>
      </c>
      <c r="C12" s="91" t="s">
        <v>72</v>
      </c>
      <c r="D12" s="92">
        <v>4.8184771860432258</v>
      </c>
    </row>
    <row r="13" spans="1:4" x14ac:dyDescent="0.25">
      <c r="A13" s="91">
        <v>42</v>
      </c>
      <c r="B13" s="91" t="s">
        <v>74</v>
      </c>
      <c r="C13" s="91" t="s">
        <v>72</v>
      </c>
      <c r="D13" s="92">
        <v>4.5280234151201881</v>
      </c>
    </row>
    <row r="14" spans="1:4" x14ac:dyDescent="0.25">
      <c r="A14" s="91">
        <v>43</v>
      </c>
      <c r="B14" s="91" t="s">
        <v>67</v>
      </c>
      <c r="C14" s="91" t="s">
        <v>68</v>
      </c>
      <c r="D14" s="92">
        <v>8.4386880357808423</v>
      </c>
    </row>
    <row r="15" spans="1:4" x14ac:dyDescent="0.25">
      <c r="A15" s="91">
        <v>43</v>
      </c>
      <c r="B15" s="91" t="s">
        <v>69</v>
      </c>
      <c r="C15" s="91" t="s">
        <v>68</v>
      </c>
      <c r="D15" s="92">
        <v>6.5169911718466533</v>
      </c>
    </row>
    <row r="16" spans="1:4" x14ac:dyDescent="0.25">
      <c r="A16" s="91">
        <v>43</v>
      </c>
      <c r="B16" s="91" t="s">
        <v>70</v>
      </c>
      <c r="C16" s="91" t="s">
        <v>68</v>
      </c>
      <c r="D16" s="92">
        <v>7.4483008828153325</v>
      </c>
    </row>
    <row r="17" spans="1:4" x14ac:dyDescent="0.25">
      <c r="A17" s="91">
        <v>43</v>
      </c>
      <c r="B17" s="91" t="s">
        <v>71</v>
      </c>
      <c r="C17" s="91" t="s">
        <v>72</v>
      </c>
      <c r="D17" s="92">
        <v>4.9493500409884073</v>
      </c>
    </row>
    <row r="18" spans="1:4" x14ac:dyDescent="0.25">
      <c r="A18" s="91">
        <v>43</v>
      </c>
      <c r="B18" s="91" t="s">
        <v>73</v>
      </c>
      <c r="C18" s="91" t="s">
        <v>72</v>
      </c>
      <c r="D18" s="92">
        <v>4.4465381244522337</v>
      </c>
    </row>
    <row r="19" spans="1:4" x14ac:dyDescent="0.25">
      <c r="A19" s="91">
        <v>43</v>
      </c>
      <c r="B19" s="91" t="s">
        <v>74</v>
      </c>
      <c r="C19" s="91" t="s">
        <v>72</v>
      </c>
      <c r="D19" s="92">
        <v>5.5591442517395357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Layout and reagents</vt:lpstr>
      <vt:lpstr>Results</vt:lpstr>
      <vt:lpstr>ForPlotting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cp:lastPrinted>2021-09-09T10:55:38Z</cp:lastPrinted>
  <dcterms:created xsi:type="dcterms:W3CDTF">2019-05-15T12:48:13Z</dcterms:created>
  <dcterms:modified xsi:type="dcterms:W3CDTF">2022-03-03T15:13:54Z</dcterms:modified>
</cp:coreProperties>
</file>