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PD_Diabetes_Alise\Co-authors_revision\"/>
    </mc:Choice>
  </mc:AlternateContent>
  <xr:revisionPtr revIDLastSave="0" documentId="13_ncr:1_{F08D8FDD-FFE4-47E1-80CE-C0006C608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tracellular_metabolite constr" sheetId="1" r:id="rId1"/>
    <sheet name="Biomass growth" sheetId="2" r:id="rId2"/>
    <sheet name="gD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D7" i="3"/>
  <c r="D8" i="3" s="1"/>
  <c r="D9" i="3" s="1"/>
  <c r="D22" i="2"/>
  <c r="C4" i="3"/>
  <c r="T6" i="1"/>
  <c r="H3" i="1"/>
  <c r="I3" i="1" s="1"/>
  <c r="U3" i="1"/>
  <c r="V3" i="1" s="1"/>
  <c r="W3" i="1" s="1"/>
  <c r="G6" i="1"/>
  <c r="H2" i="1" l="1"/>
  <c r="I2" i="1" s="1"/>
  <c r="J2" i="1" s="1"/>
  <c r="U2" i="1"/>
  <c r="V2" i="1" s="1"/>
  <c r="W2" i="1" s="1"/>
  <c r="E42" i="2"/>
  <c r="X5" i="1"/>
  <c r="G23" i="3"/>
  <c r="C23" i="3"/>
  <c r="G22" i="3"/>
  <c r="C22" i="3"/>
  <c r="H17" i="3"/>
  <c r="G17" i="3"/>
  <c r="F17" i="3"/>
  <c r="E17" i="3"/>
  <c r="D17" i="3"/>
  <c r="C17" i="3"/>
  <c r="O15" i="1" l="1"/>
  <c r="P15" i="1" s="1"/>
  <c r="B3" i="3"/>
  <c r="B7" i="3" s="1"/>
  <c r="B8" i="3" s="1"/>
  <c r="B9" i="3" s="1"/>
  <c r="X3" i="1"/>
  <c r="K5" i="1"/>
  <c r="D24" i="2"/>
  <c r="D30" i="2" s="1"/>
  <c r="D36" i="2" s="1"/>
  <c r="D41" i="2" s="1"/>
  <c r="D28" i="2"/>
  <c r="D34" i="2" s="1"/>
  <c r="D39" i="2" s="1"/>
  <c r="F24" i="2"/>
  <c r="F30" i="2" s="1"/>
  <c r="F36" i="2" s="1"/>
  <c r="E41" i="2" s="1"/>
  <c r="F22" i="2"/>
  <c r="N23" i="2" s="1"/>
  <c r="O2" i="2"/>
  <c r="B14" i="1" l="1"/>
  <c r="D14" i="1"/>
  <c r="C14" i="1"/>
  <c r="Q15" i="1"/>
  <c r="O14" i="1"/>
  <c r="Q14" i="1" s="1"/>
  <c r="X2" i="1"/>
  <c r="O13" i="1" s="1"/>
  <c r="Q13" i="1" s="1"/>
  <c r="J3" i="1"/>
  <c r="G41" i="2"/>
  <c r="F28" i="2"/>
  <c r="F34" i="2" s="1"/>
  <c r="E39" i="2" s="1"/>
  <c r="G39" i="2" s="1"/>
  <c r="L23" i="2"/>
  <c r="M23" i="2" s="1"/>
  <c r="P14" i="1" l="1"/>
  <c r="P13" i="1"/>
  <c r="K3" i="1"/>
  <c r="K2" i="1"/>
  <c r="B13" i="1" l="1"/>
  <c r="D13" i="1" s="1"/>
  <c r="B12" i="1"/>
  <c r="C12" i="1" s="1"/>
  <c r="D12" i="1" l="1"/>
  <c r="C13" i="1"/>
</calcChain>
</file>

<file path=xl/sharedStrings.xml><?xml version="1.0" encoding="utf-8"?>
<sst xmlns="http://schemas.openxmlformats.org/spreadsheetml/2006/main" count="111" uniqueCount="72">
  <si>
    <t>Metabolite</t>
  </si>
  <si>
    <t>DMEM</t>
  </si>
  <si>
    <t>Neurobasal</t>
  </si>
  <si>
    <t>Concentration , mM</t>
  </si>
  <si>
    <t>0hDiabetic</t>
  </si>
  <si>
    <t>0hLow_insulin</t>
  </si>
  <si>
    <t>72hLow_insulin</t>
  </si>
  <si>
    <t>Lactic_acid</t>
  </si>
  <si>
    <t>Glucose</t>
  </si>
  <si>
    <t>72h-0h/72, mM/h</t>
  </si>
  <si>
    <t>72h-0h/72 mM/h</t>
  </si>
  <si>
    <t>Low_insulin</t>
  </si>
  <si>
    <t>Ctrl/Diabetic model</t>
  </si>
  <si>
    <t>&gt;</t>
  </si>
  <si>
    <t>LI</t>
  </si>
  <si>
    <t>Ctrl</t>
  </si>
  <si>
    <t>Radius</t>
  </si>
  <si>
    <t>Volume</t>
  </si>
  <si>
    <t>S</t>
  </si>
  <si>
    <t>V</t>
  </si>
  <si>
    <t>mmol/gDW*h</t>
  </si>
  <si>
    <t>55,93% (Norton et al., 1975)</t>
  </si>
  <si>
    <t>mM=mmol/L</t>
  </si>
  <si>
    <t>gDW</t>
  </si>
  <si>
    <t>Mju (/h)</t>
  </si>
  <si>
    <t>mmol/h</t>
  </si>
  <si>
    <t>Average gDW</t>
  </si>
  <si>
    <t>Biomass flux</t>
  </si>
  <si>
    <t>Diabetic</t>
  </si>
  <si>
    <t>Diameter,uM</t>
  </si>
  <si>
    <r>
      <t>V = (πd</t>
    </r>
    <r>
      <rPr>
        <b/>
        <vertAlign val="superscript"/>
        <sz val="12"/>
        <color rgb="FF202124"/>
        <rFont val="Arial"/>
        <family val="2"/>
      </rPr>
      <t>3</t>
    </r>
    <r>
      <rPr>
        <b/>
        <sz val="12"/>
        <color rgb="FF202124"/>
        <rFont val="Arial"/>
        <family val="2"/>
      </rPr>
      <t>)/</t>
    </r>
    <r>
      <rPr>
        <sz val="12"/>
        <color rgb="FF202124"/>
        <rFont val="Arial"/>
        <family val="2"/>
      </rPr>
      <t>6.</t>
    </r>
  </si>
  <si>
    <t>LI23338</t>
  </si>
  <si>
    <t>Ctrl23338</t>
  </si>
  <si>
    <t>LI68</t>
  </si>
  <si>
    <t>Ctrl68</t>
  </si>
  <si>
    <t>LI56</t>
  </si>
  <si>
    <t>Ctrl56</t>
  </si>
  <si>
    <t>Biomass</t>
  </si>
  <si>
    <t>ub</t>
  </si>
  <si>
    <t>lb</t>
  </si>
  <si>
    <t>D16</t>
  </si>
  <si>
    <t>Area</t>
  </si>
  <si>
    <t>Mean</t>
  </si>
  <si>
    <t>Diameter</t>
  </si>
  <si>
    <t>D30</t>
  </si>
  <si>
    <t xml:space="preserve">Biomass increase from day16 to day30 </t>
  </si>
  <si>
    <t>lactate/glucose</t>
  </si>
  <si>
    <t>72hLow_ins_Conc</t>
  </si>
  <si>
    <t>0,4 ml Medium</t>
  </si>
  <si>
    <t>Mean(Diameter)</t>
  </si>
  <si>
    <t>lactic acid/glucose*</t>
  </si>
  <si>
    <t>*lactic acid not present in the media, calculated based on glucose conc</t>
  </si>
  <si>
    <t>Diabetic (IR)</t>
  </si>
  <si>
    <t>DMEM (mM)</t>
  </si>
  <si>
    <t>Neurobasal (mM)</t>
  </si>
  <si>
    <t>Concentration total , mM</t>
  </si>
  <si>
    <t>72hDiabetic (measured relative conc)</t>
  </si>
  <si>
    <t>72hDiabetic conc (estimated)</t>
  </si>
  <si>
    <t>*secreted</t>
  </si>
  <si>
    <t>*uptake</t>
  </si>
  <si>
    <t>10% flexibility</t>
  </si>
  <si>
    <t>Low_insulin (IS)</t>
  </si>
  <si>
    <t>0,4 ml Volume</t>
  </si>
  <si>
    <t>Volume cm3</t>
  </si>
  <si>
    <t>DW cell</t>
  </si>
  <si>
    <t>used to calculate glucose and lactate flux at D30</t>
  </si>
  <si>
    <t>m3</t>
  </si>
  <si>
    <t>mm3</t>
  </si>
  <si>
    <r>
      <t>day16,</t>
    </r>
    <r>
      <rPr>
        <sz val="11"/>
        <color theme="1"/>
        <rFont val="Calibri"/>
        <family val="2"/>
      </rPr>
      <t>μm</t>
    </r>
  </si>
  <si>
    <t>day30,μm</t>
  </si>
  <si>
    <t>time</t>
  </si>
  <si>
    <t>Volume, uM3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</si>
</sst>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000000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202124"/>
      <name val="Arial"/>
      <family val="2"/>
    </font>
    <font>
      <b/>
      <vertAlign val="superscript"/>
      <sz val="12"/>
      <color rgb="FF202124"/>
      <name val="Arial"/>
      <family val="2"/>
    </font>
    <font>
      <sz val="12"/>
      <color rgb="FF202124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0" borderId="0"/>
  </cellStyleXfs>
  <cellXfs count="4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2" fillId="0" borderId="0" xfId="42"/>
    <xf numFmtId="11" fontId="22" fillId="33" borderId="10" xfId="42" applyNumberFormat="1" applyFill="1" applyBorder="1" applyAlignment="1">
      <alignment vertical="center" wrapText="1"/>
    </xf>
    <xf numFmtId="0" fontId="22" fillId="0" borderId="0" xfId="42" applyAlignment="1">
      <alignment vertical="center" wrapText="1"/>
    </xf>
    <xf numFmtId="11" fontId="22" fillId="0" borderId="0" xfId="42" applyNumberFormat="1"/>
    <xf numFmtId="0" fontId="22" fillId="34" borderId="0" xfId="42" applyFill="1"/>
    <xf numFmtId="0" fontId="22" fillId="34" borderId="0" xfId="42" applyFill="1" applyAlignment="1">
      <alignment vertical="center" wrapText="1"/>
    </xf>
    <xf numFmtId="11" fontId="22" fillId="34" borderId="0" xfId="42" applyNumberFormat="1" applyFill="1"/>
    <xf numFmtId="0" fontId="22" fillId="35" borderId="0" xfId="42" applyFill="1"/>
    <xf numFmtId="0" fontId="22" fillId="35" borderId="0" xfId="42" applyFill="1" applyAlignment="1">
      <alignment vertical="center" wrapText="1"/>
    </xf>
    <xf numFmtId="11" fontId="22" fillId="35" borderId="0" xfId="42" applyNumberFormat="1" applyFill="1"/>
    <xf numFmtId="0" fontId="22" fillId="36" borderId="0" xfId="42" applyFill="1"/>
    <xf numFmtId="0" fontId="22" fillId="36" borderId="0" xfId="42" applyFill="1" applyAlignment="1">
      <alignment vertical="center" wrapText="1"/>
    </xf>
    <xf numFmtId="11" fontId="22" fillId="36" borderId="0" xfId="42" applyNumberFormat="1" applyFill="1"/>
    <xf numFmtId="0" fontId="22" fillId="37" borderId="0" xfId="42" applyFill="1" applyAlignment="1">
      <alignment vertical="center" wrapText="1"/>
    </xf>
    <xf numFmtId="0" fontId="22" fillId="37" borderId="0" xfId="42" applyFill="1"/>
    <xf numFmtId="11" fontId="22" fillId="37" borderId="0" xfId="42" applyNumberFormat="1" applyFill="1"/>
    <xf numFmtId="0" fontId="22" fillId="38" borderId="0" xfId="42" applyFill="1"/>
    <xf numFmtId="166" fontId="0" fillId="0" borderId="0" xfId="0" applyNumberFormat="1"/>
    <xf numFmtId="0" fontId="0" fillId="36" borderId="0" xfId="0" applyFill="1"/>
    <xf numFmtId="165" fontId="0" fillId="36" borderId="0" xfId="0" applyNumberFormat="1" applyFill="1"/>
    <xf numFmtId="11" fontId="0" fillId="36" borderId="0" xfId="0" applyNumberFormat="1" applyFill="1"/>
    <xf numFmtId="0" fontId="24" fillId="0" borderId="0" xfId="42" applyFont="1"/>
    <xf numFmtId="0" fontId="18" fillId="0" borderId="0" xfId="0" applyFont="1"/>
    <xf numFmtId="11" fontId="0" fillId="0" borderId="0" xfId="0" applyNumberFormat="1"/>
    <xf numFmtId="0" fontId="0" fillId="33" borderId="0" xfId="0" applyFill="1"/>
    <xf numFmtId="0" fontId="4" fillId="33" borderId="0" xfId="42" applyFont="1" applyFill="1"/>
    <xf numFmtId="0" fontId="3" fillId="0" borderId="0" xfId="42" applyFont="1"/>
    <xf numFmtId="0" fontId="0" fillId="33" borderId="11" xfId="0" applyFill="1" applyBorder="1"/>
    <xf numFmtId="11" fontId="23" fillId="0" borderId="0" xfId="42" applyNumberFormat="1" applyFont="1" applyAlignment="1">
      <alignment horizontal="right"/>
    </xf>
    <xf numFmtId="11" fontId="22" fillId="0" borderId="0" xfId="42" applyNumberFormat="1" applyAlignment="1">
      <alignment vertical="center" wrapText="1"/>
    </xf>
    <xf numFmtId="0" fontId="27" fillId="0" borderId="0" xfId="42" applyFont="1"/>
    <xf numFmtId="0" fontId="0" fillId="0" borderId="0" xfId="0" applyAlignment="1">
      <alignment wrapText="1"/>
    </xf>
    <xf numFmtId="9" fontId="0" fillId="0" borderId="0" xfId="0" applyNumberFormat="1"/>
    <xf numFmtId="9" fontId="18" fillId="0" borderId="0" xfId="0" applyNumberFormat="1" applyFont="1"/>
    <xf numFmtId="0" fontId="2" fillId="0" borderId="0" xfId="42" applyFont="1"/>
    <xf numFmtId="0" fontId="1" fillId="0" borderId="0" xfId="42" applyFont="1"/>
    <xf numFmtId="0" fontId="28" fillId="0" borderId="0" xfId="42" applyFont="1"/>
    <xf numFmtId="0" fontId="28" fillId="0" borderId="0" xfId="42" applyFont="1" applyAlignment="1">
      <alignment vertical="center" wrapText="1"/>
    </xf>
    <xf numFmtId="11" fontId="27" fillId="0" borderId="0" xfId="42" applyNumberFormat="1" applyFont="1" applyAlignment="1">
      <alignment horizontal="right"/>
    </xf>
    <xf numFmtId="0" fontId="1" fillId="34" borderId="0" xfId="42" applyFont="1" applyFill="1"/>
    <xf numFmtId="0" fontId="1" fillId="36" borderId="0" xfId="42" applyFont="1" applyFill="1"/>
    <xf numFmtId="0" fontId="29" fillId="0" borderId="0" xfId="42" applyFont="1"/>
    <xf numFmtId="9" fontId="0" fillId="0" borderId="0" xfId="0" applyNumberFormat="1" applyAlignment="1">
      <alignment horizontal="center"/>
    </xf>
    <xf numFmtId="0" fontId="29" fillId="0" borderId="0" xfId="42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F37F5F9-4663-4945-AAB9-63FE6E898DD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'Biomass growth'!$B$39</c:f>
              <c:strCache>
                <c:ptCount val="1"/>
                <c:pt idx="0">
                  <c:v>Ctrl/Diabetic model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'Biomass growth'!$D$42:$E$42</c:f>
              <c:numCache>
                <c:formatCode>General</c:formatCode>
                <c:ptCount val="2"/>
                <c:pt idx="0">
                  <c:v>0</c:v>
                </c:pt>
                <c:pt idx="1">
                  <c:v>336</c:v>
                </c:pt>
              </c:numCache>
            </c:numRef>
          </c:xVal>
          <c:yVal>
            <c:numRef>
              <c:f>'Biomass growth'!$D$39:$E$39</c:f>
              <c:numCache>
                <c:formatCode>0.00E+00</c:formatCode>
                <c:ptCount val="2"/>
                <c:pt idx="0">
                  <c:v>1.1844374503491537E-9</c:v>
                </c:pt>
                <c:pt idx="1">
                  <c:v>1.2866861506211281E-9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35-7B42-ABCF-1DE9E3664A8A}"/>
            </c:ext>
          </c:extLst>
        </c:ser>
        <c:ser>
          <c:idx val="1"/>
          <c:order val="1"/>
          <c:tx>
            <c:strRef>
              <c:f>'Biomass growth'!$B$40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'Biomass growth'!$D$42:$E$42</c:f>
              <c:numCache>
                <c:formatCode>General</c:formatCode>
                <c:ptCount val="2"/>
                <c:pt idx="0">
                  <c:v>0</c:v>
                </c:pt>
                <c:pt idx="1">
                  <c:v>336</c:v>
                </c:pt>
              </c:numCache>
            </c:numRef>
          </c:xVal>
          <c:yVal>
            <c:numRef>
              <c:f>'Biomass growth'!$D$40:$E$40</c:f>
              <c:numCache>
                <c:formatCode>0.00E+00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35-7B42-ABCF-1DE9E3664A8A}"/>
            </c:ext>
          </c:extLst>
        </c:ser>
        <c:ser>
          <c:idx val="2"/>
          <c:order val="2"/>
          <c:tx>
            <c:strRef>
              <c:f>'Biomass growth'!$B$41</c:f>
              <c:strCache>
                <c:ptCount val="1"/>
                <c:pt idx="0">
                  <c:v>Low_insulin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'Biomass growth'!$D$42:$E$42</c:f>
              <c:numCache>
                <c:formatCode>General</c:formatCode>
                <c:ptCount val="2"/>
                <c:pt idx="0">
                  <c:v>0</c:v>
                </c:pt>
                <c:pt idx="1">
                  <c:v>336</c:v>
                </c:pt>
              </c:numCache>
            </c:numRef>
          </c:xVal>
          <c:yVal>
            <c:numRef>
              <c:f>'Biomass growth'!$D$41:$E$41</c:f>
              <c:numCache>
                <c:formatCode>0.00E+00</c:formatCode>
                <c:ptCount val="2"/>
                <c:pt idx="0">
                  <c:v>1.1484752752574098E-9</c:v>
                </c:pt>
                <c:pt idx="1">
                  <c:v>1.4677138379294725E-9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35-7B42-ABCF-1DE9E366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12735"/>
        <c:axId val="202771535"/>
      </c:scatterChart>
      <c:valAx>
        <c:axId val="1782127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71535"/>
        <c:crosses val="autoZero"/>
        <c:crossBetween val="midCat"/>
      </c:valAx>
      <c:valAx>
        <c:axId val="20277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127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654050</xdr:colOff>
      <xdr:row>0</xdr:row>
      <xdr:rowOff>44450</xdr:rowOff>
    </xdr:from>
    <xdr:to>
      <xdr:col>22</xdr:col>
      <xdr:colOff>508000</xdr:colOff>
      <xdr:row>32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0B2264-989E-814E-8E56-E5E5529FF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I1" sqref="I1"/>
    </sheetView>
  </sheetViews>
  <sheetFormatPr defaultColWidth="11" defaultRowHeight="15.75" x14ac:dyDescent="0.25"/>
  <cols>
    <col min="5" max="5" width="13.125" customWidth="1"/>
    <col min="6" max="6" width="19.5" customWidth="1"/>
    <col min="8" max="8" width="15.5" customWidth="1"/>
    <col min="10" max="10" width="12.375" bestFit="1" customWidth="1"/>
    <col min="13" max="13" width="12.375" bestFit="1" customWidth="1"/>
    <col min="23" max="23" width="15.125" customWidth="1"/>
  </cols>
  <sheetData>
    <row r="1" spans="1:24" x14ac:dyDescent="0.25">
      <c r="A1" t="s">
        <v>52</v>
      </c>
      <c r="B1" t="s">
        <v>0</v>
      </c>
      <c r="C1" t="s">
        <v>53</v>
      </c>
      <c r="D1" t="s">
        <v>54</v>
      </c>
      <c r="E1" t="s">
        <v>55</v>
      </c>
      <c r="F1" t="s">
        <v>4</v>
      </c>
      <c r="G1" t="s">
        <v>56</v>
      </c>
      <c r="H1" t="s">
        <v>57</v>
      </c>
      <c r="I1" t="s">
        <v>9</v>
      </c>
      <c r="J1" t="s">
        <v>25</v>
      </c>
      <c r="K1" s="21" t="s">
        <v>20</v>
      </c>
      <c r="N1" t="s">
        <v>61</v>
      </c>
      <c r="O1" t="s">
        <v>0</v>
      </c>
      <c r="P1" t="s">
        <v>1</v>
      </c>
      <c r="Q1" t="s">
        <v>2</v>
      </c>
      <c r="R1" t="s">
        <v>3</v>
      </c>
      <c r="S1" t="s">
        <v>5</v>
      </c>
      <c r="T1" t="s">
        <v>6</v>
      </c>
      <c r="U1" t="s">
        <v>47</v>
      </c>
      <c r="V1" t="s">
        <v>10</v>
      </c>
      <c r="W1" t="s">
        <v>25</v>
      </c>
      <c r="X1" s="21" t="s">
        <v>20</v>
      </c>
    </row>
    <row r="2" spans="1:24" x14ac:dyDescent="0.25">
      <c r="B2" t="s">
        <v>7</v>
      </c>
      <c r="E2">
        <v>0</v>
      </c>
      <c r="F2" s="1">
        <v>5.2463883000000003E-2</v>
      </c>
      <c r="G2" s="1">
        <v>11.12533077</v>
      </c>
      <c r="H2" s="1">
        <f>H3*G6</f>
        <v>33.190040023710203</v>
      </c>
      <c r="I2" s="2">
        <f>(H2-E2)/72</f>
        <v>0.46097277810708615</v>
      </c>
      <c r="J2" s="20">
        <f>I2*0.0004</f>
        <v>1.8438911124283447E-4</v>
      </c>
      <c r="K2" s="22">
        <f>J2/gDW!$B$9</f>
        <v>0.98074811910615523</v>
      </c>
      <c r="M2" s="20"/>
      <c r="N2" s="2"/>
      <c r="O2" t="s">
        <v>7</v>
      </c>
      <c r="R2">
        <v>0</v>
      </c>
      <c r="S2" s="1">
        <v>5.7476711999999999E-2</v>
      </c>
      <c r="T2" s="1">
        <v>12.55678047</v>
      </c>
      <c r="U2" s="1">
        <f>U3*T6</f>
        <v>44.128045050659701</v>
      </c>
      <c r="V2" s="2">
        <f>(U2-R2)/72</f>
        <v>0.61288951459249585</v>
      </c>
      <c r="W2" s="20">
        <f t="shared" ref="W2:W3" si="0">V2*0.0004</f>
        <v>2.4515580583699836E-4</v>
      </c>
      <c r="X2" s="22">
        <f>W2/gDW!$D$9</f>
        <v>1.1784735550406593</v>
      </c>
    </row>
    <row r="3" spans="1:24" x14ac:dyDescent="0.25">
      <c r="B3" t="s">
        <v>8</v>
      </c>
      <c r="C3">
        <v>17.5</v>
      </c>
      <c r="D3">
        <v>25</v>
      </c>
      <c r="E3">
        <v>21.25</v>
      </c>
      <c r="F3" s="1">
        <v>7.123018794</v>
      </c>
      <c r="G3" s="1">
        <v>5.5708578590000002</v>
      </c>
      <c r="H3" s="1">
        <f>G3*E3/F3</f>
        <v>16.619460502261592</v>
      </c>
      <c r="I3" s="2">
        <f>(H3-E3)/72</f>
        <v>-6.4313048579700105E-2</v>
      </c>
      <c r="J3" s="20">
        <f t="shared" ref="J3" si="1">I3*0.0004</f>
        <v>-2.5725219431880044E-5</v>
      </c>
      <c r="K3" s="22">
        <f>J3/gDW!$B$9</f>
        <v>-0.13682999175684746</v>
      </c>
      <c r="M3" s="20"/>
      <c r="N3" s="2"/>
      <c r="O3" t="s">
        <v>8</v>
      </c>
      <c r="P3">
        <v>17.5</v>
      </c>
      <c r="Q3">
        <v>25</v>
      </c>
      <c r="R3">
        <v>21.25</v>
      </c>
      <c r="S3" s="1">
        <v>6.046757446</v>
      </c>
      <c r="T3" s="1">
        <v>4.8783108100000003</v>
      </c>
      <c r="U3" s="1">
        <f t="shared" ref="U3" si="2">R3*T3/S3</f>
        <v>17.143751115910067</v>
      </c>
      <c r="V3" s="2">
        <f t="shared" ref="V3" si="3">(U3-R3)/72</f>
        <v>-5.7031234501249063E-2</v>
      </c>
      <c r="W3" s="20">
        <f t="shared" si="0"/>
        <v>-2.2812493800499627E-5</v>
      </c>
      <c r="X3" s="22">
        <f>W3/gDW!$D$9</f>
        <v>-0.10966055067157025</v>
      </c>
    </row>
    <row r="4" spans="1:24" x14ac:dyDescent="0.25">
      <c r="K4" s="21"/>
      <c r="X4" s="21"/>
    </row>
    <row r="5" spans="1:24" x14ac:dyDescent="0.25">
      <c r="J5" t="s">
        <v>27</v>
      </c>
      <c r="K5" s="21">
        <f>'Biomass growth'!F39</f>
        <v>2.4600000000000002E-4</v>
      </c>
      <c r="W5" t="s">
        <v>27</v>
      </c>
      <c r="X5" s="23">
        <f>'Biomass growth'!F41</f>
        <v>7.2999999999999996E-4</v>
      </c>
    </row>
    <row r="6" spans="1:24" x14ac:dyDescent="0.25">
      <c r="B6" t="s">
        <v>22</v>
      </c>
      <c r="F6" t="s">
        <v>50</v>
      </c>
      <c r="G6">
        <f>G2/G3</f>
        <v>1.997058810615042</v>
      </c>
      <c r="S6" t="s">
        <v>46</v>
      </c>
      <c r="T6">
        <f>T2/T3</f>
        <v>2.5740017311443095</v>
      </c>
    </row>
    <row r="7" spans="1:24" ht="63" x14ac:dyDescent="0.25">
      <c r="B7" s="29" t="s">
        <v>48</v>
      </c>
      <c r="F7" s="34" t="s">
        <v>51</v>
      </c>
    </row>
    <row r="8" spans="1:24" x14ac:dyDescent="0.25">
      <c r="K8" s="35"/>
      <c r="N8" s="35"/>
      <c r="Q8" s="35"/>
    </row>
    <row r="9" spans="1:24" x14ac:dyDescent="0.25">
      <c r="J9" s="25"/>
      <c r="L9" s="2"/>
      <c r="M9" s="25"/>
      <c r="N9" s="2"/>
      <c r="O9" s="2"/>
      <c r="P9" s="2"/>
      <c r="R9" s="2"/>
      <c r="S9" s="2"/>
    </row>
    <row r="10" spans="1:24" x14ac:dyDescent="0.25">
      <c r="C10" s="45" t="s">
        <v>60</v>
      </c>
      <c r="D10" s="45"/>
      <c r="F10" s="35"/>
      <c r="J10" s="25"/>
      <c r="L10" s="2"/>
      <c r="M10" s="25"/>
      <c r="N10" s="2"/>
      <c r="O10" s="2"/>
      <c r="P10" s="2"/>
      <c r="R10" s="2"/>
      <c r="S10" s="2"/>
    </row>
    <row r="11" spans="1:24" x14ac:dyDescent="0.25">
      <c r="A11" s="27" t="s">
        <v>28</v>
      </c>
      <c r="B11" s="36">
        <v>0.1</v>
      </c>
      <c r="C11" t="s">
        <v>38</v>
      </c>
      <c r="D11" s="2" t="s">
        <v>39</v>
      </c>
      <c r="G11" s="2"/>
      <c r="H11" s="2"/>
      <c r="J11" s="25"/>
      <c r="M11" s="25"/>
      <c r="N11" s="2"/>
      <c r="O11" s="2"/>
      <c r="P11" s="45" t="s">
        <v>60</v>
      </c>
      <c r="Q11" s="45"/>
      <c r="R11" s="2"/>
      <c r="S11" s="2"/>
    </row>
    <row r="12" spans="1:24" x14ac:dyDescent="0.25">
      <c r="A12" s="25" t="s">
        <v>7</v>
      </c>
      <c r="B12" s="22">
        <f>K2*10/100</f>
        <v>9.8074811910615511E-2</v>
      </c>
      <c r="C12" s="2">
        <f>K2+B12</f>
        <v>1.0788229310167707</v>
      </c>
      <c r="D12" s="2">
        <f>K2-B12</f>
        <v>0.88267330719553971</v>
      </c>
      <c r="E12" t="s">
        <v>58</v>
      </c>
      <c r="G12" s="2"/>
      <c r="H12" s="2"/>
      <c r="L12" s="2"/>
      <c r="N12" s="27" t="s">
        <v>11</v>
      </c>
      <c r="O12" s="36">
        <v>0.1</v>
      </c>
      <c r="P12" t="s">
        <v>38</v>
      </c>
      <c r="Q12" t="s">
        <v>39</v>
      </c>
    </row>
    <row r="13" spans="1:24" x14ac:dyDescent="0.25">
      <c r="A13" s="25" t="s">
        <v>8</v>
      </c>
      <c r="B13" s="22">
        <f>K3*10/100</f>
        <v>-1.3682999175684744E-2</v>
      </c>
      <c r="C13" s="2">
        <f>K3-B13</f>
        <v>-0.12314699258116271</v>
      </c>
      <c r="D13" s="2">
        <f>K3+B13</f>
        <v>-0.1505129909325322</v>
      </c>
      <c r="E13" t="s">
        <v>59</v>
      </c>
      <c r="G13" s="2"/>
      <c r="H13" s="2"/>
      <c r="N13" s="25" t="s">
        <v>7</v>
      </c>
      <c r="O13">
        <f>X2*10/100</f>
        <v>0.11784735550406593</v>
      </c>
      <c r="P13" s="2">
        <f>X2+O13</f>
        <v>1.2963209105447253</v>
      </c>
      <c r="Q13" s="2">
        <f>X2-O13</f>
        <v>1.0606261995365933</v>
      </c>
    </row>
    <row r="14" spans="1:24" x14ac:dyDescent="0.25">
      <c r="A14" s="25" t="s">
        <v>37</v>
      </c>
      <c r="B14">
        <f>K5*10/100</f>
        <v>2.4600000000000005E-5</v>
      </c>
      <c r="C14">
        <f>K5+B14</f>
        <v>2.7060000000000002E-4</v>
      </c>
      <c r="D14">
        <f>K5-B14</f>
        <v>2.2140000000000001E-4</v>
      </c>
      <c r="N14" s="25" t="s">
        <v>8</v>
      </c>
      <c r="O14">
        <f>X3*10/100</f>
        <v>-1.0966055067157025E-2</v>
      </c>
      <c r="P14" s="2">
        <f>X3-O14</f>
        <v>-9.8694495604413235E-2</v>
      </c>
      <c r="Q14" s="2">
        <f>X3+O14</f>
        <v>-0.12062660573872727</v>
      </c>
    </row>
    <row r="15" spans="1:24" x14ac:dyDescent="0.25">
      <c r="N15" s="25" t="s">
        <v>37</v>
      </c>
      <c r="O15" s="26">
        <f>X5*10/100</f>
        <v>7.2999999999999985E-5</v>
      </c>
      <c r="P15" s="26">
        <f>X5+O15</f>
        <v>8.0299999999999989E-4</v>
      </c>
      <c r="Q15" s="26">
        <f>X5-O15</f>
        <v>6.5700000000000003E-4</v>
      </c>
    </row>
    <row r="16" spans="1:24" ht="15" customHeight="1" x14ac:dyDescent="0.25">
      <c r="F16" s="34"/>
    </row>
  </sheetData>
  <mergeCells count="2">
    <mergeCell ref="C10:D10"/>
    <mergeCell ref="P11:Q11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9929-499B-0941-AAA1-FA3F99F04598}">
  <dimension ref="A1:O42"/>
  <sheetViews>
    <sheetView topLeftCell="A14" zoomScaleNormal="100" workbookViewId="0">
      <selection activeCell="I42" sqref="I42"/>
    </sheetView>
  </sheetViews>
  <sheetFormatPr defaultColWidth="8.875" defaultRowHeight="15" x14ac:dyDescent="0.25"/>
  <cols>
    <col min="1" max="1" width="8.875" style="3"/>
    <col min="2" max="2" width="10.375" style="3" customWidth="1"/>
    <col min="3" max="16384" width="8.875" style="3"/>
  </cols>
  <sheetData>
    <row r="1" spans="1:15" x14ac:dyDescent="0.25">
      <c r="A1" s="5"/>
      <c r="B1" s="5"/>
      <c r="C1" s="5"/>
      <c r="D1" s="5"/>
      <c r="E1" s="5"/>
      <c r="F1" s="5"/>
    </row>
    <row r="2" spans="1:15" x14ac:dyDescent="0.25">
      <c r="A2" s="5"/>
      <c r="B2" s="5"/>
      <c r="C2" s="31"/>
      <c r="D2" s="32"/>
      <c r="E2" s="31"/>
      <c r="F2" s="32"/>
      <c r="O2" s="3">
        <f>SQRT(4)</f>
        <v>2</v>
      </c>
    </row>
    <row r="3" spans="1:15" x14ac:dyDescent="0.25">
      <c r="A3" s="5"/>
      <c r="B3" s="5"/>
      <c r="C3" s="31"/>
      <c r="D3" s="5"/>
      <c r="E3" s="31"/>
      <c r="F3" s="5"/>
    </row>
    <row r="4" spans="1:15" x14ac:dyDescent="0.25">
      <c r="A4" s="5"/>
      <c r="B4" s="5"/>
      <c r="C4" s="41"/>
      <c r="D4" s="40"/>
      <c r="E4" s="31"/>
      <c r="F4" s="5"/>
    </row>
    <row r="5" spans="1:15" x14ac:dyDescent="0.25">
      <c r="A5" s="5"/>
      <c r="B5" s="5"/>
      <c r="C5" s="41"/>
      <c r="D5" s="40"/>
      <c r="E5" s="31"/>
      <c r="F5" s="5"/>
    </row>
    <row r="6" spans="1:15" x14ac:dyDescent="0.25">
      <c r="A6" s="5"/>
      <c r="B6" s="5"/>
      <c r="C6" s="31"/>
      <c r="D6" s="32"/>
      <c r="E6" s="31"/>
      <c r="F6" s="32"/>
    </row>
    <row r="7" spans="1:15" x14ac:dyDescent="0.25">
      <c r="A7" s="5"/>
      <c r="B7" s="5"/>
      <c r="C7" s="31"/>
      <c r="D7" s="5"/>
      <c r="E7" s="31"/>
      <c r="F7" s="5"/>
    </row>
    <row r="8" spans="1:15" x14ac:dyDescent="0.25">
      <c r="A8" s="5"/>
      <c r="B8" s="5"/>
      <c r="C8" s="31"/>
      <c r="D8" s="5"/>
      <c r="E8" s="31"/>
      <c r="F8" s="5"/>
    </row>
    <row r="9" spans="1:15" x14ac:dyDescent="0.25">
      <c r="A9" s="5"/>
      <c r="B9" s="5"/>
      <c r="C9" s="31"/>
      <c r="D9" s="32"/>
      <c r="E9" s="31"/>
      <c r="F9" s="32"/>
    </row>
    <row r="10" spans="1:15" x14ac:dyDescent="0.25">
      <c r="A10" s="5"/>
      <c r="B10" s="5"/>
      <c r="C10" s="31"/>
      <c r="D10" s="5"/>
      <c r="E10" s="31"/>
      <c r="F10" s="5"/>
    </row>
    <row r="11" spans="1:15" x14ac:dyDescent="0.25">
      <c r="A11" s="5"/>
      <c r="B11" s="5"/>
      <c r="C11" s="31"/>
      <c r="D11" s="5"/>
      <c r="E11" s="31"/>
      <c r="F11" s="5"/>
    </row>
    <row r="12" spans="1:15" x14ac:dyDescent="0.25">
      <c r="B12" s="46" t="s">
        <v>45</v>
      </c>
      <c r="C12" s="46"/>
      <c r="D12" s="46"/>
      <c r="E12" s="46"/>
      <c r="F12" s="46"/>
    </row>
    <row r="13" spans="1:15" x14ac:dyDescent="0.25">
      <c r="B13" s="44"/>
      <c r="C13" s="44"/>
      <c r="D13" s="44"/>
      <c r="E13" s="44"/>
      <c r="F13" s="44"/>
    </row>
    <row r="14" spans="1:15" x14ac:dyDescent="0.25">
      <c r="D14" s="38" t="s">
        <v>68</v>
      </c>
      <c r="E14" s="3" t="s">
        <v>13</v>
      </c>
      <c r="F14" s="38" t="s">
        <v>69</v>
      </c>
    </row>
    <row r="15" spans="1:15" ht="30" x14ac:dyDescent="0.25">
      <c r="B15" s="5" t="s">
        <v>12</v>
      </c>
      <c r="D15" s="30">
        <v>797.49666666666656</v>
      </c>
      <c r="F15" s="4">
        <v>842.75733333333335</v>
      </c>
      <c r="J15" s="6"/>
      <c r="K15" s="6"/>
    </row>
    <row r="17" spans="2:14" x14ac:dyDescent="0.25">
      <c r="D17" s="32"/>
      <c r="F17" s="32"/>
    </row>
    <row r="19" spans="2:14" x14ac:dyDescent="0.25">
      <c r="B19" s="3" t="s">
        <v>11</v>
      </c>
      <c r="D19" s="4">
        <v>781.27133333333347</v>
      </c>
      <c r="F19" s="4">
        <v>920.05766666666659</v>
      </c>
    </row>
    <row r="21" spans="2:14" x14ac:dyDescent="0.25">
      <c r="B21" s="10"/>
      <c r="C21" s="10"/>
      <c r="D21" s="10"/>
      <c r="E21" s="10" t="s">
        <v>16</v>
      </c>
      <c r="F21" s="10"/>
    </row>
    <row r="22" spans="2:14" ht="30" x14ac:dyDescent="0.25">
      <c r="B22" s="11" t="s">
        <v>12</v>
      </c>
      <c r="C22" s="10"/>
      <c r="D22" s="12">
        <f>SQRT(D15/(4*3.14159))</f>
        <v>7.9663556225169367</v>
      </c>
      <c r="E22" s="12"/>
      <c r="F22" s="12">
        <f>SQRT(F15/(4*3.14159))</f>
        <v>8.1892951076681673</v>
      </c>
      <c r="M22" s="3" t="s">
        <v>18</v>
      </c>
      <c r="N22" s="3" t="s">
        <v>19</v>
      </c>
    </row>
    <row r="23" spans="2:14" x14ac:dyDescent="0.25">
      <c r="B23" s="10"/>
      <c r="C23" s="10"/>
      <c r="D23" s="12"/>
      <c r="E23" s="10"/>
      <c r="F23" s="12"/>
      <c r="L23" s="6">
        <f>F22</f>
        <v>8.1892951076681673</v>
      </c>
      <c r="M23" s="3">
        <f>4*3.14159*L23*L23</f>
        <v>842.75733333333346</v>
      </c>
      <c r="N23" s="6">
        <f>4*3.14159*F22*F22*F22/3</f>
        <v>2300.5295022727128</v>
      </c>
    </row>
    <row r="24" spans="2:14" x14ac:dyDescent="0.25">
      <c r="B24" s="10" t="s">
        <v>11</v>
      </c>
      <c r="C24" s="10"/>
      <c r="D24" s="12">
        <f>SQRT(D19/(4*3.14159))</f>
        <v>7.8849001142781745</v>
      </c>
      <c r="E24" s="10"/>
      <c r="F24" s="12">
        <f>SQRT(F19/(4*3.14159))</f>
        <v>8.5566304485260751</v>
      </c>
      <c r="H24" s="38"/>
    </row>
    <row r="27" spans="2:14" x14ac:dyDescent="0.25">
      <c r="B27" s="7"/>
      <c r="C27" s="7"/>
      <c r="D27" s="7" t="s">
        <v>17</v>
      </c>
      <c r="E27" s="7"/>
      <c r="F27" s="42" t="s">
        <v>66</v>
      </c>
    </row>
    <row r="28" spans="2:14" ht="30" x14ac:dyDescent="0.25">
      <c r="B28" s="8" t="s">
        <v>12</v>
      </c>
      <c r="C28" s="7"/>
      <c r="D28" s="9">
        <f>4*3.14159*D22*D22*D22/3</f>
        <v>2117.7140181461714</v>
      </c>
      <c r="E28" s="9"/>
      <c r="F28" s="9">
        <f>4*3.14159*F22*F22*F22/3</f>
        <v>2300.5295022727128</v>
      </c>
    </row>
    <row r="29" spans="2:14" x14ac:dyDescent="0.25">
      <c r="B29" s="7"/>
      <c r="C29" s="7"/>
      <c r="D29" s="9"/>
      <c r="E29" s="7"/>
      <c r="F29" s="9"/>
    </row>
    <row r="30" spans="2:14" x14ac:dyDescent="0.25">
      <c r="B30" s="7" t="s">
        <v>11</v>
      </c>
      <c r="C30" s="7"/>
      <c r="D30" s="9">
        <f>4*3.14159*D24*D24*D24/3</f>
        <v>2053.4154751607543</v>
      </c>
      <c r="E30" s="7"/>
      <c r="F30" s="9">
        <f>4*3.14159*F24*F24*F24/3</f>
        <v>2624.1978149999509</v>
      </c>
    </row>
    <row r="31" spans="2:14" x14ac:dyDescent="0.25">
      <c r="D31" s="6"/>
    </row>
    <row r="32" spans="2:14" x14ac:dyDescent="0.25">
      <c r="D32" s="6"/>
    </row>
    <row r="33" spans="2:10" x14ac:dyDescent="0.25">
      <c r="B33" s="13"/>
      <c r="C33" s="13"/>
      <c r="D33" s="13" t="s">
        <v>17</v>
      </c>
      <c r="E33" s="13"/>
      <c r="F33" s="43" t="s">
        <v>67</v>
      </c>
    </row>
    <row r="34" spans="2:10" ht="30" x14ac:dyDescent="0.25">
      <c r="B34" s="14" t="s">
        <v>12</v>
      </c>
      <c r="C34" s="13"/>
      <c r="D34" s="15">
        <f>D28*0.000000000001</f>
        <v>2.1177140181461714E-9</v>
      </c>
      <c r="E34" s="15"/>
      <c r="F34" s="15">
        <f>F28*0.000000000001</f>
        <v>2.3005295022727126E-9</v>
      </c>
      <c r="J34" s="37" t="s">
        <v>62</v>
      </c>
    </row>
    <row r="35" spans="2:10" x14ac:dyDescent="0.25">
      <c r="B35" s="13"/>
      <c r="C35" s="13"/>
      <c r="D35" s="15"/>
      <c r="E35" s="13"/>
      <c r="F35" s="15"/>
    </row>
    <row r="36" spans="2:10" x14ac:dyDescent="0.25">
      <c r="B36" s="13" t="s">
        <v>11</v>
      </c>
      <c r="C36" s="13"/>
      <c r="D36" s="15">
        <f>D30*0.000000000001</f>
        <v>2.0534154751607542E-9</v>
      </c>
      <c r="E36" s="13"/>
      <c r="F36" s="15">
        <f>F30*0.000000000001</f>
        <v>2.6241978149999508E-9</v>
      </c>
    </row>
    <row r="37" spans="2:10" x14ac:dyDescent="0.25">
      <c r="H37" s="38" t="s">
        <v>64</v>
      </c>
      <c r="I37" s="3" t="s">
        <v>21</v>
      </c>
    </row>
    <row r="38" spans="2:10" x14ac:dyDescent="0.25">
      <c r="E38" s="3" t="s">
        <v>23</v>
      </c>
      <c r="F38" s="19" t="s">
        <v>24</v>
      </c>
      <c r="G38" s="3" t="s">
        <v>26</v>
      </c>
    </row>
    <row r="39" spans="2:10" ht="30" x14ac:dyDescent="0.25">
      <c r="B39" s="16" t="s">
        <v>12</v>
      </c>
      <c r="C39" s="17"/>
      <c r="D39" s="18">
        <f>D34*0.5593</f>
        <v>1.1844374503491537E-9</v>
      </c>
      <c r="E39" s="18">
        <f>F34*0.5593</f>
        <v>1.2866861506211281E-9</v>
      </c>
      <c r="F39" s="19">
        <v>2.4600000000000002E-4</v>
      </c>
      <c r="G39" s="6">
        <f>(E39+D39)/2</f>
        <v>1.235561800485141E-9</v>
      </c>
    </row>
    <row r="40" spans="2:10" x14ac:dyDescent="0.25">
      <c r="B40" s="17"/>
      <c r="C40" s="17"/>
      <c r="D40" s="18"/>
      <c r="E40" s="18"/>
      <c r="F40" s="19"/>
      <c r="G40" s="6"/>
    </row>
    <row r="41" spans="2:10" x14ac:dyDescent="0.25">
      <c r="B41" s="17" t="s">
        <v>11</v>
      </c>
      <c r="C41" s="17"/>
      <c r="D41" s="18">
        <f t="shared" ref="D41" si="0">D36*0.5593</f>
        <v>1.1484752752574098E-9</v>
      </c>
      <c r="E41" s="18">
        <f>F36*0.5593</f>
        <v>1.4677138379294725E-9</v>
      </c>
      <c r="F41" s="19">
        <v>7.2999999999999996E-4</v>
      </c>
      <c r="G41" s="6">
        <f t="shared" ref="G41" si="1">(E41+D41)/2</f>
        <v>1.3080945565934411E-9</v>
      </c>
    </row>
    <row r="42" spans="2:10" x14ac:dyDescent="0.25">
      <c r="C42" s="38" t="s">
        <v>70</v>
      </c>
      <c r="D42" s="3">
        <v>0</v>
      </c>
      <c r="E42" s="3">
        <f>24*(30-16)</f>
        <v>336</v>
      </c>
    </row>
  </sheetData>
  <mergeCells count="1">
    <mergeCell ref="B12:F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C411-D054-EF40-AC37-418B94FA9CA4}">
  <dimension ref="A1:M23"/>
  <sheetViews>
    <sheetView zoomScale="130" zoomScaleNormal="130" workbookViewId="0">
      <selection activeCell="M19" sqref="M19"/>
    </sheetView>
  </sheetViews>
  <sheetFormatPr defaultColWidth="8.875" defaultRowHeight="15" x14ac:dyDescent="0.25"/>
  <cols>
    <col min="1" max="1" width="21.875" style="3" bestFit="1" customWidth="1"/>
    <col min="2" max="4" width="12" style="3" bestFit="1" customWidth="1"/>
    <col min="5" max="15" width="8.875" style="3"/>
    <col min="16" max="16" width="10.875" style="3" bestFit="1" customWidth="1"/>
    <col min="17" max="16384" width="8.875" style="3"/>
  </cols>
  <sheetData>
    <row r="1" spans="1:13" ht="18.75" x14ac:dyDescent="0.25">
      <c r="A1" s="28" t="s">
        <v>44</v>
      </c>
      <c r="B1" s="37" t="s">
        <v>36</v>
      </c>
      <c r="C1" s="3" t="s">
        <v>35</v>
      </c>
      <c r="D1" s="3" t="s">
        <v>34</v>
      </c>
      <c r="E1" s="3" t="s">
        <v>33</v>
      </c>
      <c r="F1" s="3" t="s">
        <v>32</v>
      </c>
      <c r="G1" s="3" t="s">
        <v>31</v>
      </c>
      <c r="M1" s="24" t="s">
        <v>30</v>
      </c>
    </row>
    <row r="2" spans="1:13" x14ac:dyDescent="0.25">
      <c r="A2" s="38" t="s">
        <v>29</v>
      </c>
      <c r="B2" s="3">
        <v>862.81600000000003</v>
      </c>
      <c r="C2" s="3">
        <v>832.70699999999999</v>
      </c>
      <c r="D2" s="3">
        <v>905.72500000000002</v>
      </c>
      <c r="E2" s="3">
        <v>1035.0519999999999</v>
      </c>
      <c r="F2" s="3">
        <v>759.73099999999999</v>
      </c>
      <c r="G2" s="3">
        <v>892.41399999999999</v>
      </c>
    </row>
    <row r="3" spans="1:13" x14ac:dyDescent="0.25">
      <c r="A3" s="38" t="s">
        <v>71</v>
      </c>
      <c r="B3" s="3">
        <f t="shared" ref="B3" si="0">(3.14*B2^3)/6</f>
        <v>336149885.59651953</v>
      </c>
      <c r="C3" s="3">
        <v>302172574.07879359</v>
      </c>
      <c r="D3" s="3">
        <v>388836892.65662879</v>
      </c>
      <c r="E3" s="3">
        <v>580316480.45293832</v>
      </c>
      <c r="F3" s="3">
        <v>229486921.8562918</v>
      </c>
      <c r="G3" s="3">
        <v>371943969.80700225</v>
      </c>
    </row>
    <row r="4" spans="1:13" x14ac:dyDescent="0.25">
      <c r="A4" s="29" t="s">
        <v>49</v>
      </c>
      <c r="B4" s="33">
        <f>AVERAGE(B2,D2,F2)</f>
        <v>842.75733333333335</v>
      </c>
      <c r="C4" s="33">
        <f>AVERAGE(C2,E2,G2)</f>
        <v>920.05766666666659</v>
      </c>
      <c r="D4" s="39"/>
    </row>
    <row r="5" spans="1:13" x14ac:dyDescent="0.25">
      <c r="A5" s="29"/>
      <c r="B5" s="33"/>
      <c r="C5" s="33"/>
      <c r="D5" s="39"/>
    </row>
    <row r="6" spans="1:13" x14ac:dyDescent="0.25">
      <c r="B6" s="3" t="s">
        <v>28</v>
      </c>
      <c r="D6" s="3" t="s">
        <v>11</v>
      </c>
    </row>
    <row r="7" spans="1:13" x14ac:dyDescent="0.25">
      <c r="A7" s="38" t="s">
        <v>71</v>
      </c>
      <c r="B7" s="3">
        <f>MEDIAN(B3,D3,F3)</f>
        <v>336149885.59651953</v>
      </c>
      <c r="D7" s="3">
        <f>MEDIAN(C3,E3,G3)</f>
        <v>371943969.80700225</v>
      </c>
      <c r="F7" s="38" t="s">
        <v>64</v>
      </c>
      <c r="G7" s="3" t="s">
        <v>21</v>
      </c>
    </row>
    <row r="8" spans="1:13" x14ac:dyDescent="0.25">
      <c r="A8" s="38" t="s">
        <v>63</v>
      </c>
      <c r="B8" s="3">
        <f>B7*0.000000000001</f>
        <v>3.3614988559651951E-4</v>
      </c>
      <c r="D8" s="3">
        <f t="shared" ref="D8" si="1">D7*0.000000000001</f>
        <v>3.7194396980700224E-4</v>
      </c>
    </row>
    <row r="9" spans="1:13" x14ac:dyDescent="0.25">
      <c r="A9" s="13" t="s">
        <v>23</v>
      </c>
      <c r="B9" s="13">
        <f>B8*0.5593</f>
        <v>1.8800863101413337E-4</v>
      </c>
      <c r="C9" s="13"/>
      <c r="D9" s="13">
        <f t="shared" ref="D9" si="2">D8*0.5593</f>
        <v>2.0802826231305636E-4</v>
      </c>
      <c r="F9" s="38" t="s">
        <v>65</v>
      </c>
    </row>
    <row r="15" spans="1:13" ht="15.75" x14ac:dyDescent="0.25">
      <c r="A15" s="27" t="s">
        <v>40</v>
      </c>
      <c r="B15"/>
      <c r="C15" t="s">
        <v>36</v>
      </c>
      <c r="D15" t="s">
        <v>35</v>
      </c>
      <c r="E15" t="s">
        <v>34</v>
      </c>
      <c r="F15" t="s">
        <v>33</v>
      </c>
      <c r="G15" t="s">
        <v>32</v>
      </c>
      <c r="H15" t="s">
        <v>31</v>
      </c>
    </row>
    <row r="16" spans="1:13" ht="15.75" x14ac:dyDescent="0.25">
      <c r="A16" t="s">
        <v>29</v>
      </c>
      <c r="B16"/>
      <c r="C16">
        <v>782.25300000000004</v>
      </c>
      <c r="D16">
        <v>791.029</v>
      </c>
      <c r="E16">
        <v>895.10299999999995</v>
      </c>
      <c r="F16">
        <v>750.04499999999996</v>
      </c>
      <c r="G16">
        <v>715.13400000000001</v>
      </c>
      <c r="H16">
        <v>802.74</v>
      </c>
    </row>
    <row r="17" spans="1:8" ht="15.75" x14ac:dyDescent="0.25">
      <c r="A17" s="38" t="s">
        <v>71</v>
      </c>
      <c r="B17"/>
      <c r="C17">
        <f>(3.14*C16^3)/6</f>
        <v>250507140.62959144</v>
      </c>
      <c r="D17">
        <f t="shared" ref="D17:H17" si="3">(3.14*D16^3)/6</f>
        <v>259033309.4570221</v>
      </c>
      <c r="E17">
        <f t="shared" si="3"/>
        <v>375316308.24389148</v>
      </c>
      <c r="F17">
        <f t="shared" si="3"/>
        <v>220820993.00948516</v>
      </c>
      <c r="G17">
        <f t="shared" si="3"/>
        <v>191399446.25660038</v>
      </c>
      <c r="H17">
        <f t="shared" si="3"/>
        <v>270709258.97766459</v>
      </c>
    </row>
    <row r="18" spans="1:8" ht="15.75" x14ac:dyDescent="0.25">
      <c r="A18" t="s">
        <v>41</v>
      </c>
      <c r="B18"/>
      <c r="C18">
        <v>480601.11499999999</v>
      </c>
      <c r="D18">
        <v>491445.20500000002</v>
      </c>
      <c r="E18">
        <v>629268.63</v>
      </c>
      <c r="F18">
        <v>441838.924</v>
      </c>
      <c r="G18">
        <v>401665.75199999998</v>
      </c>
      <c r="H18">
        <v>506104.272</v>
      </c>
    </row>
    <row r="19" spans="1:8" ht="15.75" x14ac:dyDescent="0.25">
      <c r="A19"/>
      <c r="B19"/>
      <c r="C19"/>
      <c r="D19"/>
      <c r="E19"/>
      <c r="F19"/>
      <c r="G19"/>
      <c r="H19"/>
    </row>
    <row r="20" spans="1:8" ht="15.75" x14ac:dyDescent="0.25">
      <c r="A20"/>
      <c r="B20"/>
      <c r="C20"/>
      <c r="D20"/>
      <c r="E20"/>
      <c r="F20"/>
      <c r="G20"/>
      <c r="H20"/>
    </row>
    <row r="21" spans="1:8" ht="15.75" x14ac:dyDescent="0.25">
      <c r="A21"/>
      <c r="B21" t="s">
        <v>42</v>
      </c>
      <c r="C21" t="s">
        <v>15</v>
      </c>
      <c r="D21"/>
      <c r="E21"/>
      <c r="F21"/>
      <c r="G21" t="s">
        <v>14</v>
      </c>
      <c r="H21"/>
    </row>
    <row r="22" spans="1:8" ht="15.75" x14ac:dyDescent="0.25">
      <c r="A22"/>
      <c r="B22" t="s">
        <v>41</v>
      </c>
      <c r="C22">
        <f>AVERAGE(C18,E18,G18)</f>
        <v>503845.16566666664</v>
      </c>
      <c r="D22"/>
      <c r="E22"/>
      <c r="F22"/>
      <c r="G22">
        <f>AVERAGE(D18,F18,H18)</f>
        <v>479796.13366666669</v>
      </c>
      <c r="H22"/>
    </row>
    <row r="23" spans="1:8" ht="15.75" x14ac:dyDescent="0.25">
      <c r="A23"/>
      <c r="B23" t="s">
        <v>43</v>
      </c>
      <c r="C23" s="25">
        <f>AVERAGE(C16,E16,G16)</f>
        <v>797.49666666666656</v>
      </c>
      <c r="D23"/>
      <c r="E23"/>
      <c r="F23"/>
      <c r="G23" s="25">
        <f>AVERAGE(D16,F16,H16)</f>
        <v>781.27133333333347</v>
      </c>
      <c r="H2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Extracellular_metabolite constr</vt:lpstr>
      <vt:lpstr>Biomass growth</vt:lpstr>
      <vt:lpstr>gDW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Egils</dc:creator>
  <cp:lastModifiedBy>Alise ZAGARE</cp:lastModifiedBy>
  <dcterms:created xsi:type="dcterms:W3CDTF">2022-01-13T10:57:04Z</dcterms:created>
  <dcterms:modified xsi:type="dcterms:W3CDTF">2023-08-02T07:07:23Z</dcterms:modified>
</cp:coreProperties>
</file>